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userName="s349016" algorithmName="SHA-512" hashValue="ludeLbkaOqiAuc4lxWnJIREUSwSieSCd5vrV0F0FNkAN/FlSRAi2ybgEPEzRm/xK2c4Lo6KIaU/0tHolhiJnfw==" saltValue="O9NSzaln6n2PzggoN+fNcQ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3 Annual Update\Filed Documents\"/>
    </mc:Choice>
  </mc:AlternateContent>
  <xr:revisionPtr revIDLastSave="0" documentId="13_ncr:10001_{110DE7EB-491F-482A-96E7-473D5656BBA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Instructions!$A$1:$R$18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05" i="18"/>
  <c r="H24" i="18" l="1"/>
  <c r="H45" i="18"/>
  <c r="H56" i="18"/>
  <c r="H68" i="18"/>
  <c r="H100" i="18"/>
  <c r="H132" i="18"/>
  <c r="H164" i="18"/>
  <c r="H180" i="18"/>
  <c r="H25" i="18"/>
  <c r="H46" i="18"/>
  <c r="H69" i="18"/>
  <c r="H101" i="18"/>
  <c r="H149" i="18"/>
  <c r="H181" i="18"/>
  <c r="H29" i="18"/>
  <c r="H40" i="18"/>
  <c r="H50" i="18"/>
  <c r="H61" i="18"/>
  <c r="H76" i="18"/>
  <c r="H92" i="18"/>
  <c r="H108" i="18"/>
  <c r="H124" i="18"/>
  <c r="H140" i="18"/>
  <c r="H156" i="18"/>
  <c r="H172" i="18"/>
  <c r="H188" i="18"/>
  <c r="H204" i="18"/>
  <c r="H34" i="18"/>
  <c r="H84" i="18"/>
  <c r="H116" i="18"/>
  <c r="H148" i="18"/>
  <c r="H196" i="18"/>
  <c r="H36" i="18"/>
  <c r="H57" i="18"/>
  <c r="H85" i="18"/>
  <c r="H117" i="18"/>
  <c r="H133" i="18"/>
  <c r="H165" i="18"/>
  <c r="H197" i="18"/>
  <c r="H20" i="18"/>
  <c r="H30" i="18"/>
  <c r="H41" i="18"/>
  <c r="H52" i="18"/>
  <c r="H62" i="18"/>
  <c r="H77" i="18"/>
  <c r="H93" i="18"/>
  <c r="H109" i="18"/>
  <c r="H125" i="18"/>
  <c r="H141" i="18"/>
  <c r="H157" i="18"/>
  <c r="H173" i="18"/>
  <c r="H189" i="18"/>
  <c r="H211" i="18"/>
  <c r="H207" i="18"/>
  <c r="H203" i="18"/>
  <c r="H199" i="18"/>
  <c r="H195" i="18"/>
  <c r="H191" i="18"/>
  <c r="H187" i="18"/>
  <c r="H183" i="18"/>
  <c r="H179" i="18"/>
  <c r="H175" i="18"/>
  <c r="H171" i="18"/>
  <c r="H167" i="18"/>
  <c r="H163" i="18"/>
  <c r="H159" i="18"/>
  <c r="H155" i="18"/>
  <c r="H151" i="18"/>
  <c r="H147" i="18"/>
  <c r="H143" i="18"/>
  <c r="H139" i="18"/>
  <c r="H135" i="18"/>
  <c r="H131" i="18"/>
  <c r="H127" i="18"/>
  <c r="H123" i="18"/>
  <c r="H119" i="18"/>
  <c r="H115" i="18"/>
  <c r="H111" i="18"/>
  <c r="H107" i="18"/>
  <c r="H103" i="18"/>
  <c r="H99" i="18"/>
  <c r="H95" i="18"/>
  <c r="H91" i="18"/>
  <c r="H87" i="18"/>
  <c r="H83" i="18"/>
  <c r="H79" i="18"/>
  <c r="H75" i="18"/>
  <c r="H71" i="18"/>
  <c r="H67" i="18"/>
  <c r="H63" i="18"/>
  <c r="H59" i="18"/>
  <c r="H55" i="18"/>
  <c r="H51" i="18"/>
  <c r="H47" i="18"/>
  <c r="H43" i="18"/>
  <c r="H39" i="18"/>
  <c r="H35" i="18"/>
  <c r="H31" i="18"/>
  <c r="H27" i="18"/>
  <c r="H23" i="18"/>
  <c r="H210" i="18"/>
  <c r="H206" i="18"/>
  <c r="H202" i="18"/>
  <c r="H198" i="18"/>
  <c r="H194" i="18"/>
  <c r="H190" i="18"/>
  <c r="H186" i="18"/>
  <c r="H182" i="18"/>
  <c r="H178" i="18"/>
  <c r="H174" i="18"/>
  <c r="H170" i="18"/>
  <c r="H166" i="18"/>
  <c r="H162" i="18"/>
  <c r="H158" i="18"/>
  <c r="H154" i="18"/>
  <c r="H150" i="18"/>
  <c r="H146" i="18"/>
  <c r="H142" i="18"/>
  <c r="H138" i="18"/>
  <c r="H134" i="18"/>
  <c r="H130" i="18"/>
  <c r="H126" i="18"/>
  <c r="H122" i="18"/>
  <c r="H118" i="18"/>
  <c r="H114" i="18"/>
  <c r="H110" i="18"/>
  <c r="H106" i="18"/>
  <c r="H102" i="18"/>
  <c r="H98" i="18"/>
  <c r="H94" i="18"/>
  <c r="H90" i="18"/>
  <c r="H86" i="18"/>
  <c r="H82" i="18"/>
  <c r="H78" i="18"/>
  <c r="H74" i="18"/>
  <c r="H70" i="18"/>
  <c r="H66" i="18"/>
  <c r="H21" i="18"/>
  <c r="H26" i="18"/>
  <c r="H32" i="18"/>
  <c r="H37" i="18"/>
  <c r="H42" i="18"/>
  <c r="H48" i="18"/>
  <c r="H53" i="18"/>
  <c r="H58" i="18"/>
  <c r="H64" i="18"/>
  <c r="H72" i="18"/>
  <c r="H80" i="18"/>
  <c r="H88" i="18"/>
  <c r="H96" i="18"/>
  <c r="H104" i="18"/>
  <c r="H112" i="18"/>
  <c r="H120" i="18"/>
  <c r="H128" i="18"/>
  <c r="H136" i="18"/>
  <c r="H144" i="18"/>
  <c r="H152" i="18"/>
  <c r="H160" i="18"/>
  <c r="H168" i="18"/>
  <c r="H176" i="18"/>
  <c r="H184" i="18"/>
  <c r="H192" i="18"/>
  <c r="H200" i="18"/>
  <c r="H208" i="18"/>
  <c r="H22" i="18"/>
  <c r="H28" i="18"/>
  <c r="H33" i="18"/>
  <c r="H38" i="18"/>
  <c r="H44" i="18"/>
  <c r="H49" i="18"/>
  <c r="H54" i="18"/>
  <c r="H60" i="18"/>
  <c r="H65" i="18"/>
  <c r="H73" i="18"/>
  <c r="H81" i="18"/>
  <c r="H89" i="18"/>
  <c r="H97" i="18"/>
  <c r="H105" i="18"/>
  <c r="H113" i="18"/>
  <c r="H121" i="18"/>
  <c r="H129" i="18"/>
  <c r="H137" i="18"/>
  <c r="H145" i="18"/>
  <c r="H153" i="18"/>
  <c r="H161" i="18"/>
  <c r="H169" i="18"/>
  <c r="H177" i="18"/>
  <c r="H185" i="18"/>
  <c r="H193" i="18"/>
  <c r="H201" i="18"/>
  <c r="H209" i="18"/>
  <c r="J38" i="29" l="1"/>
  <c r="K62" i="18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49" i="18"/>
  <c r="C61" i="18"/>
  <c r="C73" i="18" s="1"/>
  <c r="C64" i="18"/>
  <c r="C76" i="18" s="1"/>
  <c r="D55" i="18"/>
  <c r="C51" i="18"/>
  <c r="C63" i="18"/>
  <c r="C87" i="18" s="1"/>
  <c r="C99" i="18" s="1"/>
  <c r="C111" i="18" s="1"/>
  <c r="C123" i="18" s="1"/>
  <c r="C135" i="18" s="1"/>
  <c r="C147" i="18" s="1"/>
  <c r="C159" i="18" s="1"/>
  <c r="D79" i="18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D50" i="18"/>
  <c r="C57" i="18"/>
  <c r="C81" i="18" s="1"/>
  <c r="C93" i="18" s="1"/>
  <c r="C105" i="18" s="1"/>
  <c r="C117" i="18" s="1"/>
  <c r="C129" i="18" s="1"/>
  <c r="C141" i="18" s="1"/>
  <c r="C153" i="18" s="1"/>
  <c r="K119" i="18"/>
  <c r="K33" i="18"/>
  <c r="K169" i="18"/>
  <c r="K84" i="18"/>
  <c r="K128" i="18"/>
  <c r="K149" i="18"/>
  <c r="K61" i="18"/>
  <c r="K205" i="18"/>
  <c r="K192" i="18"/>
  <c r="K103" i="18"/>
  <c r="K161" i="18"/>
  <c r="K175" i="18"/>
  <c r="K150" i="18"/>
  <c r="K174" i="18"/>
  <c r="K151" i="18"/>
  <c r="K75" i="18"/>
  <c r="K173" i="18"/>
  <c r="K36" i="18"/>
  <c r="K176" i="18"/>
  <c r="K40" i="18"/>
  <c r="K95" i="18"/>
  <c r="K25" i="18"/>
  <c r="K122" i="18"/>
  <c r="K39" i="18"/>
  <c r="K134" i="18"/>
  <c r="K167" i="18"/>
  <c r="K64" i="18"/>
  <c r="K107" i="18"/>
  <c r="K35" i="18"/>
  <c r="K182" i="18"/>
  <c r="K195" i="18"/>
  <c r="K82" i="18"/>
  <c r="K162" i="18"/>
  <c r="K77" i="18"/>
  <c r="K79" i="18"/>
  <c r="K200" i="18"/>
  <c r="K55" i="18"/>
  <c r="K199" i="18"/>
  <c r="K60" i="18"/>
  <c r="K157" i="18"/>
  <c r="K166" i="18"/>
  <c r="K78" i="18"/>
  <c r="G29" i="29"/>
  <c r="G35" i="29"/>
  <c r="E22" i="29"/>
  <c r="G22" i="29"/>
  <c r="E30" i="29"/>
  <c r="D31" i="29"/>
  <c r="H33" i="29"/>
  <c r="H37" i="29"/>
  <c r="E31" i="29"/>
  <c r="H27" i="29"/>
  <c r="D32" i="29"/>
  <c r="D21" i="29"/>
  <c r="H28" i="29"/>
  <c r="D33" i="29"/>
  <c r="D35" i="29"/>
  <c r="G26" i="29"/>
  <c r="G30" i="29"/>
  <c r="D22" i="29"/>
  <c r="G25" i="29"/>
  <c r="H26" i="29"/>
  <c r="E23" i="29"/>
  <c r="E33" i="29"/>
  <c r="G33" i="29"/>
  <c r="H36" i="29"/>
  <c r="H22" i="29"/>
  <c r="D28" i="29"/>
  <c r="H21" i="29"/>
  <c r="E27" i="29"/>
  <c r="G24" i="29"/>
  <c r="D25" i="29"/>
  <c r="E26" i="29"/>
  <c r="E36" i="29"/>
  <c r="G37" i="29"/>
  <c r="D30" i="29"/>
  <c r="G28" i="29"/>
  <c r="E25" i="29"/>
  <c r="D29" i="29"/>
  <c r="E29" i="29"/>
  <c r="D36" i="29"/>
  <c r="H35" i="29"/>
  <c r="D23" i="29"/>
  <c r="H31" i="29"/>
  <c r="H30" i="29"/>
  <c r="D24" i="29"/>
  <c r="H29" i="29"/>
  <c r="G31" i="29"/>
  <c r="G23" i="29"/>
  <c r="G32" i="29"/>
  <c r="G27" i="29"/>
  <c r="E24" i="29"/>
  <c r="H24" i="29"/>
  <c r="H32" i="29"/>
  <c r="D37" i="29"/>
  <c r="E32" i="29"/>
  <c r="H23" i="29"/>
  <c r="D26" i="29"/>
  <c r="E37" i="29"/>
  <c r="G36" i="29"/>
  <c r="E21" i="29"/>
  <c r="E28" i="29"/>
  <c r="H25" i="29"/>
  <c r="E35" i="29"/>
  <c r="D27" i="29"/>
  <c r="G21" i="29"/>
  <c r="C75" i="18" l="1"/>
  <c r="D53" i="18"/>
  <c r="C54" i="18"/>
  <c r="C88" i="18"/>
  <c r="C100" i="18" s="1"/>
  <c r="C112" i="18" s="1"/>
  <c r="C124" i="18" s="1"/>
  <c r="C136" i="18" s="1"/>
  <c r="C148" i="18" s="1"/>
  <c r="C160" i="18" s="1"/>
  <c r="C53" i="18"/>
  <c r="D46" i="18"/>
  <c r="C85" i="18"/>
  <c r="C97" i="18" s="1"/>
  <c r="C109" i="18" s="1"/>
  <c r="C121" i="18" s="1"/>
  <c r="C133" i="18" s="1"/>
  <c r="C145" i="18" s="1"/>
  <c r="C157" i="18" s="1"/>
  <c r="C181" i="18" s="1"/>
  <c r="C193" i="18" s="1"/>
  <c r="C205" i="18" s="1"/>
  <c r="F10" i="29"/>
  <c r="D20" i="29"/>
  <c r="E20" i="29"/>
  <c r="C78" i="18"/>
  <c r="C90" i="18"/>
  <c r="C102" i="18" s="1"/>
  <c r="C114" i="18" s="1"/>
  <c r="C126" i="18" s="1"/>
  <c r="C138" i="18" s="1"/>
  <c r="C150" i="18" s="1"/>
  <c r="C162" i="18" s="1"/>
  <c r="C68" i="18"/>
  <c r="D57" i="18"/>
  <c r="D81" i="18" s="1"/>
  <c r="D93" i="18" s="1"/>
  <c r="D105" i="18" s="1"/>
  <c r="D117" i="18" s="1"/>
  <c r="D129" i="18" s="1"/>
  <c r="D141" i="18" s="1"/>
  <c r="D153" i="18" s="1"/>
  <c r="C72" i="18"/>
  <c r="C3" i="29"/>
  <c r="E10" i="29"/>
  <c r="O13" i="18"/>
  <c r="K53" i="18"/>
  <c r="K184" i="18"/>
  <c r="K50" i="18"/>
  <c r="K67" i="18"/>
  <c r="K116" i="18"/>
  <c r="K98" i="18"/>
  <c r="K66" i="18"/>
  <c r="K68" i="18"/>
  <c r="K54" i="18"/>
  <c r="K76" i="18"/>
  <c r="K106" i="18"/>
  <c r="K81" i="18"/>
  <c r="K154" i="18"/>
  <c r="K104" i="18"/>
  <c r="K59" i="18"/>
  <c r="K148" i="18"/>
  <c r="K24" i="18"/>
  <c r="K177" i="18"/>
  <c r="K165" i="18"/>
  <c r="K30" i="18"/>
  <c r="K83" i="18"/>
  <c r="K26" i="18"/>
  <c r="K129" i="18"/>
  <c r="K46" i="18"/>
  <c r="K86" i="18"/>
  <c r="K121" i="18"/>
  <c r="K43" i="18"/>
  <c r="K159" i="18"/>
  <c r="K135" i="18"/>
  <c r="K188" i="18"/>
  <c r="K198" i="18"/>
  <c r="K91" i="18"/>
  <c r="K34" i="18"/>
  <c r="K37" i="18"/>
  <c r="K41" i="18"/>
  <c r="K74" i="18"/>
  <c r="K158" i="18"/>
  <c r="K21" i="18"/>
  <c r="K201" i="18"/>
  <c r="K189" i="18"/>
  <c r="K168" i="18"/>
  <c r="K87" i="18"/>
  <c r="K97" i="18"/>
  <c r="K70" i="18"/>
  <c r="K170" i="18"/>
  <c r="K44" i="18"/>
  <c r="K136" i="18"/>
  <c r="K209" i="18"/>
  <c r="K22" i="18"/>
  <c r="K108" i="18"/>
  <c r="K105" i="18"/>
  <c r="K206" i="18"/>
  <c r="K179" i="18"/>
  <c r="K141" i="18"/>
  <c r="K72" i="18"/>
  <c r="K138" i="18"/>
  <c r="K211" i="18"/>
  <c r="K145" i="18"/>
  <c r="K185" i="18"/>
  <c r="K57" i="18"/>
  <c r="K124" i="18"/>
  <c r="K109" i="18"/>
  <c r="K120" i="18"/>
  <c r="K63" i="18"/>
  <c r="K137" i="18"/>
  <c r="K69" i="18"/>
  <c r="K31" i="18"/>
  <c r="K171" i="18"/>
  <c r="K65" i="18"/>
  <c r="K147" i="18"/>
  <c r="K208" i="18"/>
  <c r="K29" i="18"/>
  <c r="K114" i="18"/>
  <c r="K89" i="18"/>
  <c r="K42" i="18"/>
  <c r="K131" i="18"/>
  <c r="K96" i="18"/>
  <c r="K102" i="18"/>
  <c r="K113" i="18"/>
  <c r="K123" i="18"/>
  <c r="K132" i="18"/>
  <c r="K180" i="18"/>
  <c r="K85" i="18"/>
  <c r="K101" i="18"/>
  <c r="K94" i="18"/>
  <c r="K207" i="18"/>
  <c r="K155" i="18"/>
  <c r="K196" i="18"/>
  <c r="K191" i="18"/>
  <c r="K51" i="18"/>
  <c r="K186" i="18"/>
  <c r="K178" i="18"/>
  <c r="K23" i="18"/>
  <c r="K110" i="18"/>
  <c r="K56" i="18"/>
  <c r="K156" i="18"/>
  <c r="K48" i="18"/>
  <c r="K146" i="18"/>
  <c r="K73" i="18"/>
  <c r="K202" i="18"/>
  <c r="K204" i="18"/>
  <c r="K143" i="18"/>
  <c r="K38" i="18"/>
  <c r="K111" i="18"/>
  <c r="K118" i="18"/>
  <c r="K45" i="18"/>
  <c r="K190" i="18"/>
  <c r="K27" i="18"/>
  <c r="K183" i="18"/>
  <c r="K20" i="18"/>
  <c r="K100" i="18"/>
  <c r="K210" i="18"/>
  <c r="K99" i="18"/>
  <c r="K194" i="18"/>
  <c r="K71" i="18"/>
  <c r="K52" i="18"/>
  <c r="K125" i="18"/>
  <c r="K197" i="18"/>
  <c r="K93" i="18"/>
  <c r="K126" i="18"/>
  <c r="K139" i="18"/>
  <c r="E13" i="29"/>
  <c r="K49" i="18"/>
  <c r="K47" i="18"/>
  <c r="K187" i="18"/>
  <c r="K152" i="18"/>
  <c r="K181" i="18"/>
  <c r="K32" i="18"/>
  <c r="K28" i="18"/>
  <c r="K115" i="18"/>
  <c r="K130" i="18"/>
  <c r="K127" i="18"/>
  <c r="K153" i="18"/>
  <c r="K88" i="18"/>
  <c r="K92" i="18"/>
  <c r="K160" i="18"/>
  <c r="K80" i="18"/>
  <c r="J34" i="29"/>
  <c r="J39" i="29" s="1"/>
  <c r="K144" i="18"/>
  <c r="K203" i="18"/>
  <c r="K140" i="18"/>
  <c r="G212" i="18"/>
  <c r="K164" i="18"/>
  <c r="K58" i="18"/>
  <c r="K133" i="18"/>
  <c r="K117" i="18"/>
  <c r="K90" i="18"/>
  <c r="K193" i="18"/>
  <c r="C67" i="18"/>
  <c r="C79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173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D80" i="18" s="1"/>
  <c r="D92" i="18" s="1"/>
  <c r="D104" i="18" s="1"/>
  <c r="D116" i="18" s="1"/>
  <c r="D128" i="18" s="1"/>
  <c r="D140" i="18" s="1"/>
  <c r="D152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86" i="18"/>
  <c r="C198" i="18" s="1"/>
  <c r="C210" i="18" s="1"/>
  <c r="C174" i="18"/>
  <c r="C180" i="18"/>
  <c r="C192" i="18" s="1"/>
  <c r="C204" i="18" s="1"/>
  <c r="C168" i="18"/>
  <c r="C172" i="18"/>
  <c r="C184" i="18"/>
  <c r="C196" i="18" s="1"/>
  <c r="C208" i="18" s="1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91" i="18"/>
  <c r="C103" i="18" s="1"/>
  <c r="C115" i="18" s="1"/>
  <c r="C127" i="18" s="1"/>
  <c r="C139" i="18" s="1"/>
  <c r="C151" i="18" s="1"/>
  <c r="C163" i="18" s="1"/>
  <c r="C89" i="18"/>
  <c r="C101" i="18" s="1"/>
  <c r="C113" i="18" s="1"/>
  <c r="C125" i="18" s="1"/>
  <c r="C137" i="18" s="1"/>
  <c r="C149" i="18" s="1"/>
  <c r="C161" i="18" s="1"/>
  <c r="C77" i="18"/>
  <c r="K142" i="18"/>
  <c r="D75" i="18"/>
  <c r="K163" i="18"/>
  <c r="K172" i="18"/>
  <c r="K112" i="18"/>
  <c r="D64" i="18"/>
  <c r="D52" i="18"/>
  <c r="D84" i="18" l="1"/>
  <c r="D96" i="18" s="1"/>
  <c r="D108" i="18" s="1"/>
  <c r="D120" i="18" s="1"/>
  <c r="D132" i="18" s="1"/>
  <c r="D144" i="18" s="1"/>
  <c r="D156" i="18" s="1"/>
  <c r="D69" i="18"/>
  <c r="C169" i="18"/>
  <c r="D185" i="18"/>
  <c r="D197" i="18" s="1"/>
  <c r="D209" i="18" s="1"/>
  <c r="D68" i="18"/>
  <c r="D186" i="18"/>
  <c r="D198" i="18" s="1"/>
  <c r="D210" i="18" s="1"/>
  <c r="D182" i="18"/>
  <c r="D194" i="18" s="1"/>
  <c r="D206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K14" i="18"/>
  <c r="I35" i="29"/>
  <c r="F38" i="29"/>
  <c r="D168" i="18"/>
  <c r="D180" i="18"/>
  <c r="D192" i="18" s="1"/>
  <c r="D204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K13" i="18"/>
  <c r="K212" i="18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F39" i="29" l="1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F12" i="29" l="1"/>
  <c r="I68" i="18" l="1"/>
  <c r="J68" i="18" s="1"/>
  <c r="L68" i="18" s="1"/>
  <c r="I155" i="18"/>
  <c r="J155" i="18" s="1"/>
  <c r="L155" i="18" s="1"/>
  <c r="I129" i="18"/>
  <c r="J129" i="18" s="1"/>
  <c r="L129" i="18" s="1"/>
  <c r="I116" i="18"/>
  <c r="J116" i="18" s="1"/>
  <c r="L116" i="18" s="1"/>
  <c r="I98" i="18"/>
  <c r="J98" i="18" s="1"/>
  <c r="L98" i="18" s="1"/>
  <c r="I112" i="18"/>
  <c r="J112" i="18" s="1"/>
  <c r="L112" i="18" s="1"/>
  <c r="I201" i="18"/>
  <c r="J201" i="18" s="1"/>
  <c r="L201" i="18" s="1"/>
  <c r="I54" i="18"/>
  <c r="J54" i="18" s="1"/>
  <c r="L54" i="18" s="1"/>
  <c r="I153" i="18"/>
  <c r="J153" i="18" s="1"/>
  <c r="L153" i="18" s="1"/>
  <c r="I120" i="18"/>
  <c r="J120" i="18" s="1"/>
  <c r="L120" i="18" s="1"/>
  <c r="I199" i="18"/>
  <c r="J199" i="18" s="1"/>
  <c r="L199" i="18" s="1"/>
  <c r="I28" i="18"/>
  <c r="J28" i="18" s="1"/>
  <c r="L28" i="18" s="1"/>
  <c r="I191" i="18"/>
  <c r="J191" i="18" s="1"/>
  <c r="L191" i="18" s="1"/>
  <c r="I25" i="18"/>
  <c r="J25" i="18" s="1"/>
  <c r="L25" i="18" s="1"/>
  <c r="I80" i="18"/>
  <c r="J80" i="18" s="1"/>
  <c r="L80" i="18" s="1"/>
  <c r="I77" i="18"/>
  <c r="J77" i="18" s="1"/>
  <c r="L77" i="18" s="1"/>
  <c r="I49" i="18"/>
  <c r="J49" i="18" s="1"/>
  <c r="L49" i="18" s="1"/>
  <c r="I170" i="18"/>
  <c r="J170" i="18" s="1"/>
  <c r="L170" i="18" s="1"/>
  <c r="I35" i="18"/>
  <c r="J35" i="18" s="1"/>
  <c r="L35" i="18" s="1"/>
  <c r="I156" i="18"/>
  <c r="J156" i="18" s="1"/>
  <c r="L156" i="18" s="1"/>
  <c r="I32" i="18"/>
  <c r="J32" i="18" s="1"/>
  <c r="L32" i="18" s="1"/>
  <c r="I181" i="18"/>
  <c r="J181" i="18" s="1"/>
  <c r="L181" i="18" s="1"/>
  <c r="I128" i="18"/>
  <c r="J128" i="18" s="1"/>
  <c r="L128" i="18" s="1"/>
  <c r="I165" i="18"/>
  <c r="J165" i="18" s="1"/>
  <c r="L165" i="18" s="1"/>
  <c r="I115" i="18"/>
  <c r="J115" i="18" s="1"/>
  <c r="L115" i="18" s="1"/>
  <c r="I127" i="18"/>
  <c r="J127" i="18" s="1"/>
  <c r="L127" i="18" s="1"/>
  <c r="I103" i="18"/>
  <c r="J103" i="18" s="1"/>
  <c r="L103" i="18" s="1"/>
  <c r="I110" i="18"/>
  <c r="J110" i="18" s="1"/>
  <c r="L110" i="18" s="1"/>
  <c r="I45" i="18"/>
  <c r="J45" i="18" s="1"/>
  <c r="L45" i="18" s="1"/>
  <c r="I144" i="18"/>
  <c r="J144" i="18" s="1"/>
  <c r="L144" i="18" s="1"/>
  <c r="I65" i="18"/>
  <c r="J65" i="18" s="1"/>
  <c r="L65" i="18" s="1"/>
  <c r="I189" i="18"/>
  <c r="J189" i="18" s="1"/>
  <c r="L189" i="18" s="1"/>
  <c r="I202" i="18"/>
  <c r="J202" i="18" s="1"/>
  <c r="L202" i="18" s="1"/>
  <c r="I20" i="18"/>
  <c r="J20" i="18" s="1"/>
  <c r="I188" i="18"/>
  <c r="J188" i="18" s="1"/>
  <c r="L188" i="18" s="1"/>
  <c r="I34" i="18"/>
  <c r="J34" i="18" s="1"/>
  <c r="L34" i="18" s="1"/>
  <c r="I168" i="18"/>
  <c r="J168" i="18" s="1"/>
  <c r="L168" i="18" s="1"/>
  <c r="I59" i="18"/>
  <c r="J59" i="18" s="1"/>
  <c r="L59" i="18" s="1"/>
  <c r="I206" i="18"/>
  <c r="J206" i="18" s="1"/>
  <c r="L206" i="18" s="1"/>
  <c r="I149" i="18"/>
  <c r="J149" i="18" s="1"/>
  <c r="L149" i="18" s="1"/>
  <c r="I47" i="18"/>
  <c r="J47" i="18" s="1"/>
  <c r="L47" i="18" s="1"/>
  <c r="I24" i="18"/>
  <c r="J24" i="18" s="1"/>
  <c r="L24" i="18" s="1"/>
  <c r="I87" i="18"/>
  <c r="J87" i="18" s="1"/>
  <c r="L87" i="18" s="1"/>
  <c r="I161" i="18"/>
  <c r="J161" i="18" s="1"/>
  <c r="L161" i="18" s="1"/>
  <c r="I118" i="18"/>
  <c r="J118" i="18" s="1"/>
  <c r="L118" i="18" s="1"/>
  <c r="I30" i="18"/>
  <c r="J30" i="18" s="1"/>
  <c r="L30" i="18" s="1"/>
  <c r="I142" i="18"/>
  <c r="J142" i="18" s="1"/>
  <c r="L142" i="18" s="1"/>
  <c r="I148" i="18"/>
  <c r="J148" i="18" s="1"/>
  <c r="L148" i="18" s="1"/>
  <c r="I119" i="18"/>
  <c r="J119" i="18" s="1"/>
  <c r="L119" i="18" s="1"/>
  <c r="I52" i="18"/>
  <c r="J52" i="18" s="1"/>
  <c r="L52" i="18" s="1"/>
  <c r="I190" i="18"/>
  <c r="J190" i="18" s="1"/>
  <c r="L190" i="18" s="1"/>
  <c r="I84" i="18"/>
  <c r="J84" i="18" s="1"/>
  <c r="L84" i="18" s="1"/>
  <c r="I75" i="18"/>
  <c r="J75" i="18" s="1"/>
  <c r="L75" i="18" s="1"/>
  <c r="I66" i="18"/>
  <c r="J66" i="18" s="1"/>
  <c r="L66" i="18" s="1"/>
  <c r="I37" i="18"/>
  <c r="J37" i="18" s="1"/>
  <c r="L37" i="18" s="1"/>
  <c r="I177" i="18"/>
  <c r="J177" i="18" s="1"/>
  <c r="L177" i="18" s="1"/>
  <c r="I203" i="18"/>
  <c r="J203" i="18" s="1"/>
  <c r="L203" i="18" s="1"/>
  <c r="I85" i="18"/>
  <c r="J85" i="18" s="1"/>
  <c r="L85" i="18" s="1"/>
  <c r="I27" i="18"/>
  <c r="J27" i="18" s="1"/>
  <c r="L27" i="18" s="1"/>
  <c r="I58" i="18"/>
  <c r="J58" i="18" s="1"/>
  <c r="L58" i="18" s="1"/>
  <c r="I81" i="18"/>
  <c r="J81" i="18" s="1"/>
  <c r="L81" i="18" s="1"/>
  <c r="I71" i="18"/>
  <c r="J71" i="18" s="1"/>
  <c r="L71" i="18" s="1"/>
  <c r="I123" i="18"/>
  <c r="J123" i="18" s="1"/>
  <c r="L123" i="18" s="1"/>
  <c r="I91" i="18"/>
  <c r="J91" i="18" s="1"/>
  <c r="L91" i="18" s="1"/>
  <c r="I178" i="18"/>
  <c r="J178" i="18" s="1"/>
  <c r="L178" i="18" s="1"/>
  <c r="I172" i="18"/>
  <c r="J172" i="18" s="1"/>
  <c r="L172" i="18" s="1"/>
  <c r="I111" i="18"/>
  <c r="J111" i="18" s="1"/>
  <c r="L111" i="18" s="1"/>
  <c r="I56" i="18"/>
  <c r="J56" i="18" s="1"/>
  <c r="I186" i="18"/>
  <c r="J186" i="18" s="1"/>
  <c r="L186" i="18" s="1"/>
  <c r="I126" i="18"/>
  <c r="J126" i="18" s="1"/>
  <c r="L126" i="18" s="1"/>
  <c r="I182" i="18"/>
  <c r="J182" i="18" s="1"/>
  <c r="L182" i="18" s="1"/>
  <c r="I196" i="18"/>
  <c r="J196" i="18" s="1"/>
  <c r="L196" i="18" s="1"/>
  <c r="I107" i="18"/>
  <c r="J107" i="18" s="1"/>
  <c r="L107" i="18" s="1"/>
  <c r="I38" i="18"/>
  <c r="J38" i="18" s="1"/>
  <c r="L38" i="18" s="1"/>
  <c r="I69" i="18"/>
  <c r="J69" i="18" s="1"/>
  <c r="L69" i="18" s="1"/>
  <c r="I79" i="18"/>
  <c r="J79" i="18" s="1"/>
  <c r="L79" i="18" s="1"/>
  <c r="I55" i="18"/>
  <c r="J55" i="18" s="1"/>
  <c r="L55" i="18" s="1"/>
  <c r="I183" i="18"/>
  <c r="J183" i="18" s="1"/>
  <c r="L183" i="18" s="1"/>
  <c r="I194" i="18"/>
  <c r="J194" i="18" s="1"/>
  <c r="L194" i="18" s="1"/>
  <c r="I167" i="18"/>
  <c r="J167" i="18" s="1"/>
  <c r="L167" i="18" s="1"/>
  <c r="I173" i="18"/>
  <c r="J173" i="18" s="1"/>
  <c r="L173" i="18" s="1"/>
  <c r="I164" i="18"/>
  <c r="J164" i="18" s="1"/>
  <c r="L164" i="18" s="1"/>
  <c r="I105" i="18"/>
  <c r="J105" i="18" s="1"/>
  <c r="L105" i="18" s="1"/>
  <c r="I160" i="18"/>
  <c r="J160" i="18" s="1"/>
  <c r="L160" i="18" s="1"/>
  <c r="I184" i="18"/>
  <c r="J184" i="18" s="1"/>
  <c r="L184" i="18" s="1"/>
  <c r="I63" i="18"/>
  <c r="J63" i="18" s="1"/>
  <c r="L63" i="18" s="1"/>
  <c r="I57" i="18"/>
  <c r="J57" i="18" s="1"/>
  <c r="L57" i="18" s="1"/>
  <c r="I70" i="18"/>
  <c r="J70" i="18" s="1"/>
  <c r="L70" i="18" s="1"/>
  <c r="I94" i="18"/>
  <c r="J94" i="18" s="1"/>
  <c r="L94" i="18" s="1"/>
  <c r="I130" i="18"/>
  <c r="J130" i="18" s="1"/>
  <c r="L130" i="18" s="1"/>
  <c r="I209" i="18"/>
  <c r="J209" i="18" s="1"/>
  <c r="L209" i="18" s="1"/>
  <c r="I138" i="18"/>
  <c r="J138" i="18" s="1"/>
  <c r="L138" i="18" s="1"/>
  <c r="I42" i="18"/>
  <c r="J42" i="18" s="1"/>
  <c r="L42" i="18" s="1"/>
  <c r="I141" i="18"/>
  <c r="J141" i="18" s="1"/>
  <c r="L141" i="18" s="1"/>
  <c r="I187" i="18"/>
  <c r="J187" i="18" s="1"/>
  <c r="L187" i="18" s="1"/>
  <c r="I92" i="18"/>
  <c r="J92" i="18" s="1"/>
  <c r="L92" i="18" s="1"/>
  <c r="I90" i="18"/>
  <c r="J90" i="18" s="1"/>
  <c r="L90" i="18" s="1"/>
  <c r="I124" i="18"/>
  <c r="J124" i="18" s="1"/>
  <c r="L124" i="18" s="1"/>
  <c r="I114" i="18"/>
  <c r="J114" i="18" s="1"/>
  <c r="L114" i="18" s="1"/>
  <c r="I195" i="18"/>
  <c r="J195" i="18" s="1"/>
  <c r="L195" i="18" s="1"/>
  <c r="I21" i="18"/>
  <c r="J21" i="18" s="1"/>
  <c r="L21" i="18" s="1"/>
  <c r="I102" i="18"/>
  <c r="J102" i="18" s="1"/>
  <c r="L102" i="18" s="1"/>
  <c r="I152" i="18"/>
  <c r="J152" i="18" s="1"/>
  <c r="L152" i="18" s="1"/>
  <c r="I93" i="18"/>
  <c r="J93" i="18" s="1"/>
  <c r="L93" i="18" s="1"/>
  <c r="I62" i="18"/>
  <c r="J62" i="18" s="1"/>
  <c r="L62" i="18" s="1"/>
  <c r="I146" i="18"/>
  <c r="J146" i="18" s="1"/>
  <c r="L146" i="18" s="1"/>
  <c r="I23" i="18"/>
  <c r="J23" i="18" s="1"/>
  <c r="L23" i="18" s="1"/>
  <c r="I204" i="18"/>
  <c r="J204" i="18" s="1"/>
  <c r="L204" i="18" s="1"/>
  <c r="I159" i="18"/>
  <c r="J159" i="18" s="1"/>
  <c r="L159" i="18" s="1"/>
  <c r="I44" i="18"/>
  <c r="J44" i="18" s="1"/>
  <c r="L44" i="18" s="1"/>
  <c r="I41" i="18"/>
  <c r="J41" i="18" s="1"/>
  <c r="L41" i="18" s="1"/>
  <c r="I175" i="18"/>
  <c r="J175" i="18" s="1"/>
  <c r="L175" i="18" s="1"/>
  <c r="I64" i="18"/>
  <c r="J64" i="18" s="1"/>
  <c r="L64" i="18" s="1"/>
  <c r="I95" i="18"/>
  <c r="J95" i="18" s="1"/>
  <c r="L95" i="18" s="1"/>
  <c r="I33" i="18"/>
  <c r="J33" i="18" s="1"/>
  <c r="L33" i="18" s="1"/>
  <c r="I171" i="18"/>
  <c r="J171" i="18" s="1"/>
  <c r="L171" i="18" s="1"/>
  <c r="I157" i="18"/>
  <c r="J157" i="18" s="1"/>
  <c r="L157" i="18" s="1"/>
  <c r="I137" i="18"/>
  <c r="J137" i="18" s="1"/>
  <c r="L137" i="18" s="1"/>
  <c r="I104" i="18"/>
  <c r="J104" i="18" s="1"/>
  <c r="L104" i="18" s="1"/>
  <c r="I145" i="18"/>
  <c r="J145" i="18" s="1"/>
  <c r="L145" i="18" s="1"/>
  <c r="I150" i="18"/>
  <c r="J150" i="18" s="1"/>
  <c r="L150" i="18" s="1"/>
  <c r="I207" i="18"/>
  <c r="J207" i="18" s="1"/>
  <c r="L207" i="18" s="1"/>
  <c r="I26" i="18"/>
  <c r="J26" i="18" s="1"/>
  <c r="L26" i="18" s="1"/>
  <c r="I131" i="18"/>
  <c r="J131" i="18" s="1"/>
  <c r="L131" i="18" s="1"/>
  <c r="I210" i="18"/>
  <c r="J210" i="18" s="1"/>
  <c r="L210" i="18" s="1"/>
  <c r="I193" i="18"/>
  <c r="J193" i="18" s="1"/>
  <c r="L193" i="18" s="1"/>
  <c r="I99" i="18"/>
  <c r="J99" i="18" s="1"/>
  <c r="L99" i="18" s="1"/>
  <c r="I174" i="18"/>
  <c r="J174" i="18" s="1"/>
  <c r="L174" i="18" s="1"/>
  <c r="I72" i="18"/>
  <c r="J72" i="18" s="1"/>
  <c r="L72" i="18" s="1"/>
  <c r="I73" i="18"/>
  <c r="J73" i="18" s="1"/>
  <c r="L73" i="18" s="1"/>
  <c r="I78" i="18"/>
  <c r="J78" i="18" s="1"/>
  <c r="L78" i="18" s="1"/>
  <c r="I132" i="18"/>
  <c r="J132" i="18" s="1"/>
  <c r="L132" i="18" s="1"/>
  <c r="I48" i="18"/>
  <c r="J48" i="18" s="1"/>
  <c r="L48" i="18" s="1"/>
  <c r="I29" i="18"/>
  <c r="J29" i="18" s="1"/>
  <c r="L29" i="18" s="1"/>
  <c r="I147" i="18"/>
  <c r="J147" i="18" s="1"/>
  <c r="L147" i="18" s="1"/>
  <c r="F14" i="29"/>
  <c r="I197" i="18"/>
  <c r="J197" i="18" s="1"/>
  <c r="L197" i="18" s="1"/>
  <c r="I89" i="18"/>
  <c r="J89" i="18" s="1"/>
  <c r="L89" i="18" s="1"/>
  <c r="I100" i="18"/>
  <c r="J100" i="18" s="1"/>
  <c r="L100" i="18" s="1"/>
  <c r="I76" i="18"/>
  <c r="J76" i="18" s="1"/>
  <c r="L76" i="18" s="1"/>
  <c r="I43" i="18"/>
  <c r="J43" i="18" s="1"/>
  <c r="L43" i="18" s="1"/>
  <c r="I208" i="18"/>
  <c r="J208" i="18" s="1"/>
  <c r="L208" i="18" s="1"/>
  <c r="I96" i="18"/>
  <c r="J96" i="18" s="1"/>
  <c r="L96" i="18" s="1"/>
  <c r="I166" i="18"/>
  <c r="J166" i="18" s="1"/>
  <c r="L166" i="18" s="1"/>
  <c r="I50" i="18"/>
  <c r="J50" i="18" s="1"/>
  <c r="L50" i="18" s="1"/>
  <c r="I22" i="18"/>
  <c r="J22" i="18" s="1"/>
  <c r="L22" i="18" s="1"/>
  <c r="I51" i="18"/>
  <c r="J51" i="18" s="1"/>
  <c r="L51" i="18" s="1"/>
  <c r="I53" i="18"/>
  <c r="J53" i="18" s="1"/>
  <c r="L53" i="18" s="1"/>
  <c r="I134" i="18"/>
  <c r="J134" i="18" s="1"/>
  <c r="L134" i="18" s="1"/>
  <c r="I192" i="18"/>
  <c r="J192" i="18" s="1"/>
  <c r="L192" i="18" s="1"/>
  <c r="I121" i="18"/>
  <c r="J121" i="18" s="1"/>
  <c r="L121" i="18" s="1"/>
  <c r="I82" i="18"/>
  <c r="J82" i="18" s="1"/>
  <c r="L82" i="18" s="1"/>
  <c r="I101" i="18"/>
  <c r="J101" i="18" s="1"/>
  <c r="L101" i="18" s="1"/>
  <c r="I135" i="18"/>
  <c r="J135" i="18" s="1"/>
  <c r="L135" i="18" s="1"/>
  <c r="I113" i="18"/>
  <c r="J113" i="18" s="1"/>
  <c r="L113" i="18" s="1"/>
  <c r="I143" i="18"/>
  <c r="J143" i="18" s="1"/>
  <c r="L143" i="18" s="1"/>
  <c r="I60" i="18"/>
  <c r="J60" i="18" s="1"/>
  <c r="L60" i="18" s="1"/>
  <c r="I40" i="18"/>
  <c r="J40" i="18" s="1"/>
  <c r="L40" i="18" s="1"/>
  <c r="I136" i="18"/>
  <c r="J136" i="18" s="1"/>
  <c r="L136" i="18" s="1"/>
  <c r="I162" i="18"/>
  <c r="J162" i="18" s="1"/>
  <c r="L162" i="18" s="1"/>
  <c r="I140" i="18"/>
  <c r="J140" i="18" s="1"/>
  <c r="L140" i="18" s="1"/>
  <c r="I185" i="18"/>
  <c r="J185" i="18" s="1"/>
  <c r="L185" i="18" s="1"/>
  <c r="I74" i="18"/>
  <c r="J74" i="18" s="1"/>
  <c r="L74" i="18" s="1"/>
  <c r="I133" i="18"/>
  <c r="J133" i="18" s="1"/>
  <c r="L133" i="18" s="1"/>
  <c r="I46" i="18"/>
  <c r="J46" i="18" s="1"/>
  <c r="L46" i="18" s="1"/>
  <c r="I31" i="18"/>
  <c r="J31" i="18" s="1"/>
  <c r="L31" i="18" s="1"/>
  <c r="I154" i="18"/>
  <c r="J154" i="18" s="1"/>
  <c r="L154" i="18" s="1"/>
  <c r="I125" i="18"/>
  <c r="J125" i="18" s="1"/>
  <c r="L125" i="18" s="1"/>
  <c r="I211" i="18"/>
  <c r="J211" i="18" s="1"/>
  <c r="L211" i="18" s="1"/>
  <c r="I122" i="18"/>
  <c r="J122" i="18" s="1"/>
  <c r="L122" i="18" s="1"/>
  <c r="I61" i="18"/>
  <c r="J61" i="18" s="1"/>
  <c r="L61" i="18" s="1"/>
  <c r="I163" i="18"/>
  <c r="J163" i="18" s="1"/>
  <c r="L163" i="18" s="1"/>
  <c r="I200" i="18"/>
  <c r="J200" i="18" s="1"/>
  <c r="L200" i="18" s="1"/>
  <c r="I139" i="18"/>
  <c r="J139" i="18" s="1"/>
  <c r="L139" i="18" s="1"/>
  <c r="I86" i="18"/>
  <c r="J86" i="18" s="1"/>
  <c r="L86" i="18" s="1"/>
  <c r="I36" i="18"/>
  <c r="J36" i="18" s="1"/>
  <c r="L36" i="18" s="1"/>
  <c r="I169" i="18"/>
  <c r="J169" i="18" s="1"/>
  <c r="L169" i="18" s="1"/>
  <c r="I88" i="18"/>
  <c r="J88" i="18" s="1"/>
  <c r="L88" i="18" s="1"/>
  <c r="I106" i="18"/>
  <c r="J106" i="18" s="1"/>
  <c r="L106" i="18" s="1"/>
  <c r="I117" i="18"/>
  <c r="J117" i="18" s="1"/>
  <c r="L117" i="18" s="1"/>
  <c r="I180" i="18"/>
  <c r="J180" i="18" s="1"/>
  <c r="L180" i="18" s="1"/>
  <c r="I205" i="18"/>
  <c r="J205" i="18" s="1"/>
  <c r="L205" i="18" s="1"/>
  <c r="I108" i="18"/>
  <c r="J108" i="18" s="1"/>
  <c r="L108" i="18" s="1"/>
  <c r="I151" i="18"/>
  <c r="J151" i="18" s="1"/>
  <c r="L151" i="18" s="1"/>
  <c r="I179" i="18"/>
  <c r="J179" i="18" s="1"/>
  <c r="L179" i="18" s="1"/>
  <c r="I109" i="18"/>
  <c r="J109" i="18" s="1"/>
  <c r="L109" i="18" s="1"/>
  <c r="I83" i="18"/>
  <c r="J83" i="18" s="1"/>
  <c r="L83" i="18" s="1"/>
  <c r="I176" i="18"/>
  <c r="J176" i="18" s="1"/>
  <c r="L176" i="18" s="1"/>
  <c r="I97" i="18"/>
  <c r="J97" i="18" s="1"/>
  <c r="L97" i="18" s="1"/>
  <c r="I158" i="18"/>
  <c r="J158" i="18" s="1"/>
  <c r="L158" i="18" s="1"/>
  <c r="I67" i="18"/>
  <c r="J67" i="18" s="1"/>
  <c r="L67" i="18" s="1"/>
  <c r="I39" i="18"/>
  <c r="J39" i="18" s="1"/>
  <c r="L39" i="18" s="1"/>
  <c r="I198" i="18"/>
  <c r="J198" i="18" s="1"/>
  <c r="L198" i="18" s="1"/>
  <c r="L20" i="18" l="1"/>
  <c r="J14" i="18"/>
  <c r="J212" i="18"/>
  <c r="L56" i="18"/>
  <c r="J13" i="18"/>
  <c r="L212" i="18" l="1"/>
  <c r="L14" i="18"/>
  <c r="L13" i="18"/>
  <c r="M34" i="18" l="1"/>
  <c r="N34" i="18" s="1"/>
  <c r="R34" i="18" s="1"/>
  <c r="M22" i="18"/>
  <c r="N22" i="18" s="1"/>
  <c r="R22" i="18" s="1"/>
  <c r="M92" i="18"/>
  <c r="N92" i="18" s="1"/>
  <c r="R92" i="18" s="1"/>
  <c r="M78" i="18"/>
  <c r="N78" i="18" s="1"/>
  <c r="R78" i="18" s="1"/>
  <c r="M162" i="18"/>
  <c r="N162" i="18" s="1"/>
  <c r="R162" i="18" s="1"/>
  <c r="M188" i="18"/>
  <c r="N188" i="18" s="1"/>
  <c r="R188" i="18" s="1"/>
  <c r="M146" i="18"/>
  <c r="N146" i="18" s="1"/>
  <c r="R146" i="18" s="1"/>
  <c r="M123" i="18"/>
  <c r="N123" i="18" s="1"/>
  <c r="R123" i="18" s="1"/>
  <c r="M143" i="18"/>
  <c r="N143" i="18" s="1"/>
  <c r="R143" i="18" s="1"/>
  <c r="M24" i="18"/>
  <c r="N24" i="18" s="1"/>
  <c r="R24" i="18" s="1"/>
  <c r="M43" i="18"/>
  <c r="N43" i="18" s="1"/>
  <c r="R43" i="18" s="1"/>
  <c r="M47" i="18"/>
  <c r="N47" i="18" s="1"/>
  <c r="R47" i="18" s="1"/>
  <c r="M121" i="18"/>
  <c r="N121" i="18" s="1"/>
  <c r="R121" i="18" s="1"/>
  <c r="M94" i="18"/>
  <c r="N94" i="18" s="1"/>
  <c r="R94" i="18" s="1"/>
  <c r="M138" i="18"/>
  <c r="N138" i="18" s="1"/>
  <c r="R138" i="18" s="1"/>
  <c r="M156" i="18"/>
  <c r="N156" i="18" s="1"/>
  <c r="R156" i="18" s="1"/>
  <c r="M98" i="18"/>
  <c r="N98" i="18" s="1"/>
  <c r="R98" i="18" s="1"/>
  <c r="M54" i="18"/>
  <c r="N54" i="18" s="1"/>
  <c r="R54" i="18" s="1"/>
  <c r="M176" i="18"/>
  <c r="N176" i="18" s="1"/>
  <c r="R176" i="18" s="1"/>
  <c r="M195" i="18"/>
  <c r="N195" i="18" s="1"/>
  <c r="R195" i="18" s="1"/>
  <c r="M70" i="18"/>
  <c r="N70" i="18" s="1"/>
  <c r="R70" i="18" s="1"/>
  <c r="M197" i="18"/>
  <c r="N197" i="18" s="1"/>
  <c r="R197" i="18" s="1"/>
  <c r="M191" i="18"/>
  <c r="N191" i="18" s="1"/>
  <c r="R191" i="18" s="1"/>
  <c r="M171" i="18"/>
  <c r="N171" i="18" s="1"/>
  <c r="R171" i="18" s="1"/>
  <c r="M72" i="18"/>
  <c r="N72" i="18" s="1"/>
  <c r="R72" i="18" s="1"/>
  <c r="M21" i="18"/>
  <c r="N21" i="18" s="1"/>
  <c r="R21" i="18" s="1"/>
  <c r="M203" i="18"/>
  <c r="N203" i="18" s="1"/>
  <c r="R203" i="18" s="1"/>
  <c r="M37" i="18"/>
  <c r="N37" i="18" s="1"/>
  <c r="R37" i="18" s="1"/>
  <c r="M130" i="18"/>
  <c r="N130" i="18" s="1"/>
  <c r="R130" i="18" s="1"/>
  <c r="M198" i="18"/>
  <c r="N198" i="18" s="1"/>
  <c r="R198" i="18" s="1"/>
  <c r="M190" i="18"/>
  <c r="N190" i="18" s="1"/>
  <c r="R190" i="18" s="1"/>
  <c r="M62" i="18"/>
  <c r="N62" i="18" s="1"/>
  <c r="R62" i="18" s="1"/>
  <c r="M154" i="18"/>
  <c r="N154" i="18" s="1"/>
  <c r="R154" i="18" s="1"/>
  <c r="M207" i="18"/>
  <c r="N207" i="18" s="1"/>
  <c r="R207" i="18" s="1"/>
  <c r="M20" i="18"/>
  <c r="M205" i="18"/>
  <c r="N205" i="18" s="1"/>
  <c r="R205" i="18" s="1"/>
  <c r="M32" i="18"/>
  <c r="N32" i="18" s="1"/>
  <c r="R32" i="18" s="1"/>
  <c r="M67" i="18"/>
  <c r="N67" i="18" s="1"/>
  <c r="R67" i="18" s="1"/>
  <c r="M31" i="18"/>
  <c r="N31" i="18" s="1"/>
  <c r="R31" i="18" s="1"/>
  <c r="M109" i="18"/>
  <c r="N109" i="18" s="1"/>
  <c r="R109" i="18" s="1"/>
  <c r="M152" i="18"/>
  <c r="N152" i="18" s="1"/>
  <c r="R152" i="18" s="1"/>
  <c r="M55" i="18"/>
  <c r="N55" i="18" s="1"/>
  <c r="R55" i="18" s="1"/>
  <c r="M40" i="18"/>
  <c r="N40" i="18" s="1"/>
  <c r="R40" i="18" s="1"/>
  <c r="M66" i="18"/>
  <c r="N66" i="18" s="1"/>
  <c r="R66" i="18" s="1"/>
  <c r="M139" i="18"/>
  <c r="N139" i="18" s="1"/>
  <c r="R139" i="18" s="1"/>
  <c r="M56" i="18"/>
  <c r="M167" i="18"/>
  <c r="N167" i="18" s="1"/>
  <c r="R167" i="18" s="1"/>
  <c r="M53" i="18"/>
  <c r="N53" i="18" s="1"/>
  <c r="R53" i="18" s="1"/>
  <c r="M183" i="18"/>
  <c r="N183" i="18" s="1"/>
  <c r="R183" i="18" s="1"/>
  <c r="M163" i="18"/>
  <c r="N163" i="18" s="1"/>
  <c r="R163" i="18" s="1"/>
  <c r="M97" i="18"/>
  <c r="N97" i="18" s="1"/>
  <c r="R97" i="18" s="1"/>
  <c r="M140" i="18"/>
  <c r="N140" i="18" s="1"/>
  <c r="R140" i="18" s="1"/>
  <c r="M200" i="18"/>
  <c r="N200" i="18" s="1"/>
  <c r="R200" i="18" s="1"/>
  <c r="M82" i="18"/>
  <c r="N82" i="18" s="1"/>
  <c r="R82" i="18" s="1"/>
  <c r="M89" i="18"/>
  <c r="N89" i="18" s="1"/>
  <c r="R89" i="18" s="1"/>
  <c r="M135" i="18"/>
  <c r="N135" i="18" s="1"/>
  <c r="R135" i="18" s="1"/>
  <c r="M86" i="18"/>
  <c r="N86" i="18" s="1"/>
  <c r="R86" i="18" s="1"/>
  <c r="M155" i="18"/>
  <c r="N155" i="18" s="1"/>
  <c r="R155" i="18" s="1"/>
  <c r="M111" i="18"/>
  <c r="N111" i="18" s="1"/>
  <c r="R111" i="18" s="1"/>
  <c r="M134" i="18"/>
  <c r="N134" i="18" s="1"/>
  <c r="R134" i="18" s="1"/>
  <c r="M35" i="18"/>
  <c r="N35" i="18" s="1"/>
  <c r="R35" i="18" s="1"/>
  <c r="M110" i="18"/>
  <c r="N110" i="18" s="1"/>
  <c r="R110" i="18" s="1"/>
  <c r="M81" i="18"/>
  <c r="N81" i="18" s="1"/>
  <c r="R81" i="18" s="1"/>
  <c r="M175" i="18"/>
  <c r="N175" i="18" s="1"/>
  <c r="R175" i="18" s="1"/>
  <c r="M107" i="18"/>
  <c r="N107" i="18" s="1"/>
  <c r="R107" i="18" s="1"/>
  <c r="M182" i="18"/>
  <c r="N182" i="18" s="1"/>
  <c r="R182" i="18" s="1"/>
  <c r="M172" i="18"/>
  <c r="N172" i="18" s="1"/>
  <c r="R172" i="18" s="1"/>
  <c r="M124" i="18"/>
  <c r="N124" i="18" s="1"/>
  <c r="R124" i="18" s="1"/>
  <c r="M103" i="18"/>
  <c r="N103" i="18" s="1"/>
  <c r="R103" i="18" s="1"/>
  <c r="M96" i="18"/>
  <c r="N96" i="18" s="1"/>
  <c r="R96" i="18" s="1"/>
  <c r="M206" i="18"/>
  <c r="N206" i="18" s="1"/>
  <c r="R206" i="18" s="1"/>
  <c r="M61" i="18"/>
  <c r="N61" i="18" s="1"/>
  <c r="R61" i="18" s="1"/>
  <c r="M84" i="18"/>
  <c r="N84" i="18" s="1"/>
  <c r="R84" i="18" s="1"/>
  <c r="M145" i="18"/>
  <c r="N145" i="18" s="1"/>
  <c r="R145" i="18" s="1"/>
  <c r="M106" i="18"/>
  <c r="N106" i="18" s="1"/>
  <c r="R106" i="18" s="1"/>
  <c r="M100" i="18"/>
  <c r="N100" i="18" s="1"/>
  <c r="R100" i="18" s="1"/>
  <c r="M26" i="18"/>
  <c r="N26" i="18" s="1"/>
  <c r="R26" i="18" s="1"/>
  <c r="M208" i="18"/>
  <c r="N208" i="18" s="1"/>
  <c r="R208" i="18" s="1"/>
  <c r="M148" i="18"/>
  <c r="N148" i="18" s="1"/>
  <c r="R148" i="18" s="1"/>
  <c r="M83" i="18"/>
  <c r="N83" i="18" s="1"/>
  <c r="R83" i="18" s="1"/>
  <c r="M150" i="18"/>
  <c r="N150" i="18" s="1"/>
  <c r="R150" i="18" s="1"/>
  <c r="M184" i="18"/>
  <c r="N184" i="18" s="1"/>
  <c r="R184" i="18" s="1"/>
  <c r="M59" i="18"/>
  <c r="N59" i="18" s="1"/>
  <c r="R59" i="18" s="1"/>
  <c r="M137" i="18"/>
  <c r="N137" i="18" s="1"/>
  <c r="R137" i="18" s="1"/>
  <c r="M161" i="18"/>
  <c r="N161" i="18" s="1"/>
  <c r="R161" i="18" s="1"/>
  <c r="M64" i="18"/>
  <c r="N64" i="18" s="1"/>
  <c r="R64" i="18" s="1"/>
  <c r="M211" i="18"/>
  <c r="N211" i="18" s="1"/>
  <c r="R211" i="18" s="1"/>
  <c r="M189" i="18"/>
  <c r="N189" i="18" s="1"/>
  <c r="R189" i="18" s="1"/>
  <c r="M133" i="18"/>
  <c r="N133" i="18" s="1"/>
  <c r="R133" i="18" s="1"/>
  <c r="M136" i="18"/>
  <c r="N136" i="18" s="1"/>
  <c r="R136" i="18" s="1"/>
  <c r="M116" i="18"/>
  <c r="N116" i="18" s="1"/>
  <c r="R116" i="18" s="1"/>
  <c r="M91" i="18"/>
  <c r="N91" i="18" s="1"/>
  <c r="R91" i="18" s="1"/>
  <c r="M144" i="18"/>
  <c r="N144" i="18" s="1"/>
  <c r="R144" i="18" s="1"/>
  <c r="M108" i="18"/>
  <c r="N108" i="18" s="1"/>
  <c r="R108" i="18" s="1"/>
  <c r="M159" i="18"/>
  <c r="N159" i="18" s="1"/>
  <c r="R159" i="18" s="1"/>
  <c r="M27" i="18"/>
  <c r="N27" i="18" s="1"/>
  <c r="R27" i="18" s="1"/>
  <c r="M99" i="18"/>
  <c r="N99" i="18" s="1"/>
  <c r="R99" i="18" s="1"/>
  <c r="M85" i="18"/>
  <c r="N85" i="18" s="1"/>
  <c r="R85" i="18" s="1"/>
  <c r="M30" i="18"/>
  <c r="N30" i="18" s="1"/>
  <c r="R30" i="18" s="1"/>
  <c r="M201" i="18"/>
  <c r="N201" i="18" s="1"/>
  <c r="R201" i="18" s="1"/>
  <c r="M74" i="18"/>
  <c r="N74" i="18" s="1"/>
  <c r="R74" i="18" s="1"/>
  <c r="M39" i="18"/>
  <c r="N39" i="18" s="1"/>
  <c r="R39" i="18" s="1"/>
  <c r="M44" i="18"/>
  <c r="N44" i="18" s="1"/>
  <c r="R44" i="18" s="1"/>
  <c r="M76" i="18"/>
  <c r="N76" i="18" s="1"/>
  <c r="R76" i="18" s="1"/>
  <c r="M129" i="18"/>
  <c r="N129" i="18" s="1"/>
  <c r="R129" i="18" s="1"/>
  <c r="M210" i="18"/>
  <c r="N210" i="18" s="1"/>
  <c r="R210" i="18" s="1"/>
  <c r="M57" i="18"/>
  <c r="N57" i="18" s="1"/>
  <c r="R57" i="18" s="1"/>
  <c r="M181" i="18"/>
  <c r="N181" i="18" s="1"/>
  <c r="R181" i="18" s="1"/>
  <c r="M132" i="18"/>
  <c r="N132" i="18" s="1"/>
  <c r="R132" i="18" s="1"/>
  <c r="M102" i="18"/>
  <c r="N102" i="18" s="1"/>
  <c r="R102" i="18" s="1"/>
  <c r="M170" i="18"/>
  <c r="N170" i="18" s="1"/>
  <c r="R170" i="18" s="1"/>
  <c r="M196" i="18"/>
  <c r="N196" i="18" s="1"/>
  <c r="R196" i="18" s="1"/>
  <c r="M192" i="18"/>
  <c r="N192" i="18" s="1"/>
  <c r="R192" i="18" s="1"/>
  <c r="M58" i="18"/>
  <c r="N58" i="18" s="1"/>
  <c r="R58" i="18" s="1"/>
  <c r="M23" i="18"/>
  <c r="N23" i="18" s="1"/>
  <c r="R23" i="18" s="1"/>
  <c r="M71" i="18"/>
  <c r="N71" i="18" s="1"/>
  <c r="R71" i="18" s="1"/>
  <c r="M48" i="18"/>
  <c r="N48" i="18" s="1"/>
  <c r="R48" i="18" s="1"/>
  <c r="M52" i="18"/>
  <c r="N52" i="18" s="1"/>
  <c r="R52" i="18" s="1"/>
  <c r="M204" i="18"/>
  <c r="N204" i="18" s="1"/>
  <c r="R204" i="18" s="1"/>
  <c r="M174" i="18"/>
  <c r="N174" i="18" s="1"/>
  <c r="R174" i="18" s="1"/>
  <c r="M187" i="18"/>
  <c r="N187" i="18" s="1"/>
  <c r="R187" i="18" s="1"/>
  <c r="M95" i="18"/>
  <c r="N95" i="18" s="1"/>
  <c r="R95" i="18" s="1"/>
  <c r="M168" i="18"/>
  <c r="N168" i="18" s="1"/>
  <c r="R168" i="18" s="1"/>
  <c r="M118" i="18"/>
  <c r="N118" i="18" s="1"/>
  <c r="R118" i="18" s="1"/>
  <c r="M28" i="18"/>
  <c r="N28" i="18" s="1"/>
  <c r="R28" i="18" s="1"/>
  <c r="M209" i="18"/>
  <c r="N209" i="18" s="1"/>
  <c r="R209" i="18" s="1"/>
  <c r="M33" i="18"/>
  <c r="N33" i="18" s="1"/>
  <c r="R33" i="18" s="1"/>
  <c r="M114" i="18"/>
  <c r="N114" i="18" s="1"/>
  <c r="R114" i="18" s="1"/>
  <c r="M120" i="18"/>
  <c r="N120" i="18" s="1"/>
  <c r="R120" i="18" s="1"/>
  <c r="M105" i="18"/>
  <c r="N105" i="18" s="1"/>
  <c r="R105" i="18" s="1"/>
  <c r="M126" i="18"/>
  <c r="N126" i="18" s="1"/>
  <c r="R126" i="18" s="1"/>
  <c r="M179" i="18"/>
  <c r="N179" i="18" s="1"/>
  <c r="R179" i="18" s="1"/>
  <c r="M68" i="18"/>
  <c r="N68" i="18" s="1"/>
  <c r="R68" i="18" s="1"/>
  <c r="M202" i="18"/>
  <c r="N202" i="18" s="1"/>
  <c r="R202" i="18" s="1"/>
  <c r="M151" i="18"/>
  <c r="N151" i="18" s="1"/>
  <c r="R151" i="18" s="1"/>
  <c r="M131" i="18"/>
  <c r="N131" i="18" s="1"/>
  <c r="R131" i="18" s="1"/>
  <c r="M185" i="18"/>
  <c r="N185" i="18" s="1"/>
  <c r="R185" i="18" s="1"/>
  <c r="M158" i="18"/>
  <c r="N158" i="18" s="1"/>
  <c r="R158" i="18" s="1"/>
  <c r="M73" i="18"/>
  <c r="N73" i="18" s="1"/>
  <c r="R73" i="18" s="1"/>
  <c r="M160" i="18"/>
  <c r="N160" i="18" s="1"/>
  <c r="R160" i="18" s="1"/>
  <c r="M87" i="18"/>
  <c r="N87" i="18" s="1"/>
  <c r="R87" i="18" s="1"/>
  <c r="M50" i="18"/>
  <c r="N50" i="18" s="1"/>
  <c r="R50" i="18" s="1"/>
  <c r="M166" i="18"/>
  <c r="N166" i="18" s="1"/>
  <c r="R166" i="18" s="1"/>
  <c r="M194" i="18"/>
  <c r="N194" i="18" s="1"/>
  <c r="R194" i="18" s="1"/>
  <c r="M90" i="18"/>
  <c r="N90" i="18" s="1"/>
  <c r="R90" i="18" s="1"/>
  <c r="M93" i="18"/>
  <c r="N93" i="18" s="1"/>
  <c r="R93" i="18" s="1"/>
  <c r="M127" i="18"/>
  <c r="N127" i="18" s="1"/>
  <c r="R127" i="18" s="1"/>
  <c r="M164" i="18"/>
  <c r="N164" i="18" s="1"/>
  <c r="R164" i="18" s="1"/>
  <c r="M117" i="18"/>
  <c r="N117" i="18" s="1"/>
  <c r="R117" i="18" s="1"/>
  <c r="M25" i="18"/>
  <c r="N25" i="18" s="1"/>
  <c r="R25" i="18" s="1"/>
  <c r="M141" i="18"/>
  <c r="N141" i="18" s="1"/>
  <c r="R141" i="18" s="1"/>
  <c r="M173" i="18"/>
  <c r="N173" i="18" s="1"/>
  <c r="R173" i="18" s="1"/>
  <c r="M101" i="18"/>
  <c r="N101" i="18" s="1"/>
  <c r="R101" i="18" s="1"/>
  <c r="M88" i="18"/>
  <c r="N88" i="18" s="1"/>
  <c r="R88" i="18" s="1"/>
  <c r="M119" i="18"/>
  <c r="N119" i="18" s="1"/>
  <c r="R119" i="18" s="1"/>
  <c r="M142" i="18"/>
  <c r="N142" i="18" s="1"/>
  <c r="R142" i="18" s="1"/>
  <c r="M38" i="18"/>
  <c r="N38" i="18" s="1"/>
  <c r="R38" i="18" s="1"/>
  <c r="M36" i="18"/>
  <c r="N36" i="18" s="1"/>
  <c r="R36" i="18" s="1"/>
  <c r="M69" i="18"/>
  <c r="N69" i="18" s="1"/>
  <c r="R69" i="18" s="1"/>
  <c r="M60" i="18"/>
  <c r="N60" i="18" s="1"/>
  <c r="R60" i="18" s="1"/>
  <c r="M125" i="18"/>
  <c r="N125" i="18" s="1"/>
  <c r="R125" i="18" s="1"/>
  <c r="M80" i="18"/>
  <c r="N80" i="18" s="1"/>
  <c r="R80" i="18" s="1"/>
  <c r="M177" i="18"/>
  <c r="N177" i="18" s="1"/>
  <c r="R177" i="18" s="1"/>
  <c r="M186" i="18"/>
  <c r="N186" i="18" s="1"/>
  <c r="R186" i="18" s="1"/>
  <c r="M46" i="18"/>
  <c r="N46" i="18" s="1"/>
  <c r="R46" i="18" s="1"/>
  <c r="M112" i="18"/>
  <c r="N112" i="18" s="1"/>
  <c r="R112" i="18" s="1"/>
  <c r="M45" i="18"/>
  <c r="N45" i="18" s="1"/>
  <c r="R45" i="18" s="1"/>
  <c r="M169" i="18"/>
  <c r="N169" i="18" s="1"/>
  <c r="R169" i="18" s="1"/>
  <c r="M199" i="18"/>
  <c r="N199" i="18" s="1"/>
  <c r="R199" i="18" s="1"/>
  <c r="M149" i="18"/>
  <c r="N149" i="18" s="1"/>
  <c r="R149" i="18" s="1"/>
  <c r="M122" i="18"/>
  <c r="N122" i="18" s="1"/>
  <c r="R122" i="18" s="1"/>
  <c r="M147" i="18"/>
  <c r="N147" i="18" s="1"/>
  <c r="R147" i="18" s="1"/>
  <c r="M113" i="18"/>
  <c r="N113" i="18" s="1"/>
  <c r="R113" i="18" s="1"/>
  <c r="M29" i="18"/>
  <c r="N29" i="18" s="1"/>
  <c r="R29" i="18" s="1"/>
  <c r="M128" i="18"/>
  <c r="N128" i="18" s="1"/>
  <c r="R128" i="18" s="1"/>
  <c r="M115" i="18"/>
  <c r="N115" i="18" s="1"/>
  <c r="R115" i="18" s="1"/>
  <c r="M49" i="18"/>
  <c r="N49" i="18" s="1"/>
  <c r="R49" i="18" s="1"/>
  <c r="M65" i="18"/>
  <c r="N65" i="18" s="1"/>
  <c r="R65" i="18" s="1"/>
  <c r="M51" i="18"/>
  <c r="N51" i="18" s="1"/>
  <c r="R51" i="18" s="1"/>
  <c r="M41" i="18"/>
  <c r="N41" i="18" s="1"/>
  <c r="R41" i="18" s="1"/>
  <c r="M42" i="18"/>
  <c r="N42" i="18" s="1"/>
  <c r="R42" i="18" s="1"/>
  <c r="M157" i="18"/>
  <c r="N157" i="18" s="1"/>
  <c r="R157" i="18" s="1"/>
  <c r="M104" i="18"/>
  <c r="N104" i="18" s="1"/>
  <c r="R104" i="18" s="1"/>
  <c r="M153" i="18"/>
  <c r="N153" i="18" s="1"/>
  <c r="R153" i="18" s="1"/>
  <c r="M79" i="18"/>
  <c r="N79" i="18" s="1"/>
  <c r="R79" i="18" s="1"/>
  <c r="M75" i="18"/>
  <c r="N75" i="18" s="1"/>
  <c r="R75" i="18" s="1"/>
  <c r="M180" i="18"/>
  <c r="N180" i="18" s="1"/>
  <c r="R180" i="18" s="1"/>
  <c r="M193" i="18"/>
  <c r="N193" i="18" s="1"/>
  <c r="R193" i="18" s="1"/>
  <c r="M77" i="18"/>
  <c r="N77" i="18" s="1"/>
  <c r="R77" i="18" s="1"/>
  <c r="M165" i="18"/>
  <c r="N165" i="18" s="1"/>
  <c r="R165" i="18" s="1"/>
  <c r="M178" i="18"/>
  <c r="N178" i="18" s="1"/>
  <c r="R178" i="18" s="1"/>
  <c r="M63" i="18"/>
  <c r="N63" i="18" s="1"/>
  <c r="R63" i="18" s="1"/>
  <c r="M212" i="18" l="1"/>
  <c r="N20" i="18"/>
  <c r="M13" i="18"/>
  <c r="N56" i="18"/>
  <c r="N13" i="18" l="1"/>
  <c r="R56" i="18"/>
  <c r="R13" i="18" s="1"/>
  <c r="R20" i="18"/>
  <c r="N14" i="18"/>
  <c r="R14" i="18" l="1"/>
  <c r="R2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<sst xmlns="http://schemas.openxmlformats.org/spreadsheetml/2006/main" count="421" uniqueCount="105">
  <si>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</si>
  <si>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</si>
  <si>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</si>
  <si>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</si>
  <si>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</si>
  <si>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</si>
  <si>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</si>
  <si>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</si>
  <si>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</si>
  <si>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</si>
  <si>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</si>
  <si>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</si>
  <si>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</si>
  <si>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</si>
  <si>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</si>
  <si>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</si>
  <si>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</si>
  <si>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</si>
  <si>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</si>
  <si>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</si>
  <si>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</si>
  <si>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</si>
  <si>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</si>
  <si>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</si>
  <si>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</si>
  <si>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</si>
  <si>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</si>
  <si>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</si>
  <si>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</si>
  <si>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</si>
  <si>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</si>
  <si>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</si>
  <si>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</si>
  <si>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</si>
  <si>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</si>
  <si>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</si>
  <si>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</si>
  <si>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</si>
  <si>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</si>
  <si>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</si>
  <si>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</si>
  <si>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</si>
  <si>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</si>
  <si>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</si>
  <si>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</si>
  <si>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</si>
  <si>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</si>
  <si>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</si>
  <si>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</si>
  <si>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</si>
  <si>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</si>
  <si>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</si>
  <si>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</si>
  <si>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</si>
  <si>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</si>
  <si>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</si>
  <si>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</si>
  <si>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</si>
  <si>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</si>
  <si>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</si>
  <si>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</si>
  <si>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</si>
  <si>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</si>
  <si>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</si>
  <si>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</si>
  <si>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</si>
  <si>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</si>
  <si>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</si>
  <si>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</si>
  <si>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</si>
  <si>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</si>
  <si>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</si>
  <si>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</si>
  <si>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</si>
  <si>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</si>
  <si>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</si>
  <si>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</si>
  <si>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</si>
  <si>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</si>
  <si>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</si>
  <si>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</si>
  <si>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</si>
  <si>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</si>
  <si>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</si>
  <si>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</si>
  <si>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</si>
  <si>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</si>
  <si>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</si>
  <si>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</si>
  <si>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</si>
  <si>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</si>
  <si>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</si>
  <si>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</si>
  <si>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</si>
  <si>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</si>
  <si>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</si>
  <si>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AEPTCo Formula Rate -- FERC Docket ER18-195</t>
  </si>
  <si>
    <t>Network Customer True-Up (Schedule 1 charges)</t>
  </si>
  <si>
    <t>2020 True Up Including Interest</t>
  </si>
  <si>
    <t>Total NITS Surcharge / Refund</t>
  </si>
  <si>
    <r>
      <t>2022 True-Up
(</t>
    </r>
    <r>
      <rPr>
        <sz val="10"/>
        <rFont val="Arial"/>
        <family val="2"/>
      </rPr>
      <t>w/o Interest)</t>
    </r>
  </si>
  <si>
    <t>2022 Interest</t>
  </si>
  <si>
    <t>2022 Tax True Up</t>
  </si>
  <si>
    <t>Total 2022
True-Up Surcharge / (Refund)</t>
  </si>
  <si>
    <t>2022 ROE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</si>
</sst>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7" fontId="7" fillId="6" borderId="25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66" fontId="25" fillId="0" borderId="43" xfId="0" applyNumberFormat="1" applyFont="1" applyBorder="1" applyProtection="1"/>
    <xf numFmtId="166" fontId="25" fillId="0" borderId="0" xfId="0" applyNumberFormat="1" applyFont="1" applyProtection="1"/>
    <xf numFmtId="166" fontId="25" fillId="0" borderId="44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41" xfId="0" applyNumberFormat="1" applyFont="1" applyBorder="1" applyProtection="1"/>
    <xf numFmtId="166" fontId="25" fillId="0" borderId="42" xfId="0" applyNumberFormat="1" applyFont="1" applyBorder="1" applyProtection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49016" refreshedDate="45069.353171875002" createdVersion="6" refreshedVersion="7" recordCount="192" xr:uid="{00000000-000A-0000-FFFF-FFFFDE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2-12-02T00:00:00" count="156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2-02-03T00:00:00" maxDate="2023-01-05T00:00:00"/>
    </cacheField>
    <cacheField name="Payment Received*" numFmtId="14">
      <sharedItems containsSemiMixedTypes="0" containsNonDate="0" containsDate="1" containsString="0" minDate="2022-02-23T00:00:00" maxDate="2023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30"/>
    </cacheField>
    <cacheField name="Projected Rate (as Invoiced)" numFmtId="164">
      <sharedItems containsSemiMixedTypes="0" containsString="0" containsNumber="1" minValue="20.982460991879897" maxValue="20.982460991879897"/>
    </cacheField>
    <cacheField name="Actual True-Up Rate" numFmtId="164">
      <sharedItems containsSemiMixedTypes="0" containsString="0" containsNumber="1" minValue="10.792264234856615" maxValue="10.792264234856615"/>
    </cacheField>
    <cacheField name="True-Up Charge" numFmtId="164">
      <sharedItems containsSemiMixedTypes="0" containsString="0" containsNumber="1" minValue="10.792264234856615" maxValue="45651.27771344348"/>
    </cacheField>
    <cacheField name="Invoiced*** Charge (proj.)" numFmtId="164">
      <sharedItems containsSemiMixedTypes="0" containsString="0" containsNumber="1" minValue="20.982460991879897" maxValue="88755.809995651958"/>
    </cacheField>
    <cacheField name="True-Up w/o Interest" numFmtId="164">
      <sharedItems containsSemiMixedTypes="0" containsString="0" containsNumber="1" minValue="-43104.532282208478" maxValue="-10.190196757023282"/>
    </cacheField>
    <cacheField name="Interest" numFmtId="164">
      <sharedItems containsSemiMixedTypes="0" containsString="0" containsNumber="1" minValue="-2353.8134157514392" maxValue="-0.55645707228166419"/>
    </cacheField>
    <cacheField name="2020 True Up Including Interest" numFmtId="164">
      <sharedItems containsSemiMixedTypes="0" containsString="0" containsNumber="1" minValue="-45458.345697959914" maxValue="-10.746653829304947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45458.345697959914" maxValue="-10.7466538293049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2-02-03T00:00:00"/>
    <d v="2022-02-23T00:00:00"/>
    <x v="0"/>
    <n v="9"/>
    <n v="2899"/>
    <n v="20.982460991879897"/>
    <n v="10.792264234856615"/>
    <n v="31286.774016849329"/>
    <n v="60828.154415459823"/>
    <n v="-29541.380398610494"/>
    <n v="-1613.1690525445442"/>
    <n v="-31154.549451155039"/>
    <n v="0"/>
    <n v="0"/>
    <n v="0"/>
    <n v="-31154.549451155039"/>
  </r>
  <r>
    <x v="1"/>
    <d v="2022-03-03T00:00:00"/>
    <d v="2022-03-22T00:00:00"/>
    <x v="0"/>
    <n v="9"/>
    <n v="2759"/>
    <n v="20.982460991879897"/>
    <n v="10.792264234856615"/>
    <n v="29775.857023969402"/>
    <n v="57890.609876596638"/>
    <n v="-28114.752852627236"/>
    <n v="-1535.2650624251112"/>
    <n v="-29650.017915052347"/>
    <n v="0"/>
    <n v="0"/>
    <n v="0"/>
    <n v="-29650.017915052347"/>
  </r>
  <r>
    <x v="2"/>
    <d v="2022-04-05T00:00:00"/>
    <d v="2022-04-25T00:00:00"/>
    <x v="0"/>
    <n v="9"/>
    <n v="2450"/>
    <n v="20.982460991879897"/>
    <n v="10.792264234856615"/>
    <n v="26441.047375398706"/>
    <n v="51407.029430105751"/>
    <n v="-24965.982054707045"/>
    <n v="-1363.3198270900771"/>
    <n v="-26329.301881797121"/>
    <n v="0"/>
    <n v="0"/>
    <n v="0"/>
    <n v="-26329.301881797121"/>
  </r>
  <r>
    <x v="3"/>
    <d v="2022-05-04T00:00:00"/>
    <d v="2022-05-24T00:00:00"/>
    <x v="0"/>
    <n v="9"/>
    <n v="2395"/>
    <n v="20.982460991879897"/>
    <n v="10.792264234856615"/>
    <n v="25847.472842481595"/>
    <n v="50252.994075552357"/>
    <n v="-24405.521233070762"/>
    <n v="-1332.7146881145854"/>
    <n v="-25738.235921185347"/>
    <n v="0"/>
    <n v="0"/>
    <n v="0"/>
    <n v="-25738.235921185347"/>
  </r>
  <r>
    <x v="4"/>
    <d v="2022-06-03T00:00:00"/>
    <d v="2022-06-23T00:00:00"/>
    <x v="0"/>
    <n v="9"/>
    <n v="3482"/>
    <n v="20.982460991879897"/>
    <n v="10.792264234856615"/>
    <n v="37578.664065770732"/>
    <n v="73060.929173725803"/>
    <n v="-35482.265107955071"/>
    <n v="-1937.5835256847545"/>
    <n v="-37419.848633639827"/>
    <n v="0"/>
    <n v="0"/>
    <n v="0"/>
    <n v="-37419.848633639827"/>
  </r>
  <r>
    <x v="5"/>
    <d v="2022-07-05T00:00:00"/>
    <d v="2022-07-25T00:00:00"/>
    <x v="0"/>
    <n v="9"/>
    <n v="4006"/>
    <n v="20.982460991879897"/>
    <n v="10.792264234856615"/>
    <n v="43233.810524835601"/>
    <n v="84055.738733470862"/>
    <n v="-40821.928208635261"/>
    <n v="-2229.1670315603465"/>
    <n v="-43051.095240195609"/>
    <n v="0"/>
    <n v="0"/>
    <n v="0"/>
    <n v="-43051.095240195609"/>
  </r>
  <r>
    <x v="6"/>
    <d v="2022-08-03T00:00:00"/>
    <d v="2022-08-23T00:00:00"/>
    <x v="0"/>
    <n v="9"/>
    <n v="4230"/>
    <n v="20.982460991879897"/>
    <n v="10.792264234856615"/>
    <n v="45651.27771344348"/>
    <n v="88755.809995651958"/>
    <n v="-43104.532282208478"/>
    <n v="-2353.8134157514392"/>
    <n v="-45458.345697959914"/>
    <n v="0"/>
    <n v="0"/>
    <n v="0"/>
    <n v="-45458.345697959914"/>
  </r>
  <r>
    <x v="7"/>
    <d v="2022-09-05T00:00:00"/>
    <d v="2022-09-23T00:00:00"/>
    <x v="0"/>
    <n v="9"/>
    <n v="4151"/>
    <n v="20.982460991879897"/>
    <n v="10.792264234856615"/>
    <n v="44798.688838889808"/>
    <n v="87098.195577293445"/>
    <n v="-42299.506738403637"/>
    <n v="-2309.8533070411877"/>
    <n v="-44609.360045444824"/>
    <n v="0"/>
    <n v="0"/>
    <n v="0"/>
    <n v="-44609.360045444824"/>
  </r>
  <r>
    <x v="8"/>
    <d v="2022-10-05T00:00:00"/>
    <d v="2022-10-25T00:00:00"/>
    <x v="0"/>
    <n v="9"/>
    <n v="3898"/>
    <n v="20.982460991879897"/>
    <n v="10.792264234856615"/>
    <n v="42068.245987471084"/>
    <n v="81789.632946347832"/>
    <n v="-39721.386958876748"/>
    <n v="-2169.0696677539268"/>
    <n v="-41890.456626630672"/>
    <n v="0"/>
    <n v="0"/>
    <n v="0"/>
    <n v="-41890.456626630672"/>
  </r>
  <r>
    <x v="9"/>
    <d v="2022-11-03T00:00:00"/>
    <d v="2022-11-23T00:00:00"/>
    <x v="0"/>
    <n v="9"/>
    <n v="2760"/>
    <n v="20.982460991879897"/>
    <n v="10.792264234856615"/>
    <n v="29786.649288204258"/>
    <n v="57911.592337588518"/>
    <n v="-28124.943049384259"/>
    <n v="-1535.821519497393"/>
    <n v="-29660.764568881652"/>
    <n v="0"/>
    <n v="0"/>
    <n v="0"/>
    <n v="-29660.764568881652"/>
  </r>
  <r>
    <x v="10"/>
    <d v="2022-12-05T00:00:00"/>
    <d v="2022-12-23T00:00:00"/>
    <x v="0"/>
    <n v="9"/>
    <n v="2561"/>
    <n v="20.982460991879897"/>
    <n v="10.792264234856615"/>
    <n v="27638.988705467793"/>
    <n v="53736.08260020442"/>
    <n v="-26097.093894736627"/>
    <n v="-1425.0865621133416"/>
    <n v="-27522.180456849968"/>
    <n v="0"/>
    <n v="0"/>
    <n v="0"/>
    <n v="-27522.180456849968"/>
  </r>
  <r>
    <x v="11"/>
    <d v="2023-01-04T00:00:00"/>
    <d v="2023-01-24T00:00:00"/>
    <x v="0"/>
    <n v="9"/>
    <n v="3150"/>
    <n v="20.982460991879897"/>
    <n v="10.792264234856615"/>
    <n v="33995.632339798336"/>
    <n v="66094.752124421677"/>
    <n v="-32099.119784623341"/>
    <n v="-1752.8397776872418"/>
    <n v="-33851.959562310585"/>
    <n v="0"/>
    <n v="0"/>
    <n v="0"/>
    <n v="-33851.959562310585"/>
  </r>
  <r>
    <x v="0"/>
    <d v="2022-02-03T00:00:00"/>
    <d v="2022-02-23T00:00:00"/>
    <x v="1"/>
    <n v="9"/>
    <n v="2921"/>
    <n v="20.982460991879897"/>
    <n v="10.792264234856615"/>
    <n v="31524.203830016173"/>
    <n v="61289.768557281182"/>
    <n v="-29765.564727265009"/>
    <n v="-1625.4111081347407"/>
    <n v="-31390.975835399749"/>
    <n v="0"/>
    <n v="0"/>
    <n v="0"/>
    <n v="-31390.975835399749"/>
  </r>
  <r>
    <x v="1"/>
    <d v="2022-03-03T00:00:00"/>
    <d v="2022-03-22T00:00:00"/>
    <x v="1"/>
    <n v="9"/>
    <n v="2853"/>
    <n v="20.982460991879897"/>
    <n v="10.792264234856615"/>
    <n v="30790.329862045925"/>
    <n v="59862.961209833345"/>
    <n v="-29072.631347787421"/>
    <n v="-1587.5720272195877"/>
    <n v="-30660.203375007008"/>
    <n v="0"/>
    <n v="0"/>
    <n v="0"/>
    <n v="-30660.203375007008"/>
  </r>
  <r>
    <x v="2"/>
    <d v="2022-04-05T00:00:00"/>
    <d v="2022-04-25T00:00:00"/>
    <x v="1"/>
    <n v="9"/>
    <n v="2560"/>
    <n v="20.982460991879897"/>
    <n v="10.792264234856615"/>
    <n v="27628.196441232936"/>
    <n v="53715.100139212533"/>
    <n v="-26086.903697979596"/>
    <n v="-1424.5301050410601"/>
    <n v="-27511.433803020656"/>
    <n v="0"/>
    <n v="0"/>
    <n v="0"/>
    <n v="-27511.433803020656"/>
  </r>
  <r>
    <x v="3"/>
    <d v="2022-05-04T00:00:00"/>
    <d v="2022-05-24T00:00:00"/>
    <x v="1"/>
    <n v="9"/>
    <n v="2434"/>
    <n v="20.982460991879897"/>
    <n v="10.792264234856615"/>
    <n v="26268.371147641003"/>
    <n v="51071.31005423567"/>
    <n v="-24802.938906594667"/>
    <n v="-1354.4165139335705"/>
    <n v="-26157.355420528238"/>
    <n v="0"/>
    <n v="0"/>
    <n v="0"/>
    <n v="-26157.355420528238"/>
  </r>
  <r>
    <x v="4"/>
    <d v="2022-06-03T00:00:00"/>
    <d v="2022-06-23T00:00:00"/>
    <x v="1"/>
    <n v="9"/>
    <n v="3117"/>
    <n v="20.982460991879897"/>
    <n v="10.792264234856615"/>
    <n v="33639.487620048072"/>
    <n v="65402.330911689642"/>
    <n v="-31762.84329164157"/>
    <n v="-1734.476694301947"/>
    <n v="-33497.319985943519"/>
    <n v="0"/>
    <n v="0"/>
    <n v="0"/>
    <n v="-33497.319985943519"/>
  </r>
  <r>
    <x v="5"/>
    <d v="2022-07-05T00:00:00"/>
    <d v="2022-07-25T00:00:00"/>
    <x v="1"/>
    <n v="9"/>
    <n v="3536"/>
    <n v="20.982460991879897"/>
    <n v="10.792264234856615"/>
    <n v="38161.446334452994"/>
    <n v="74193.982067287317"/>
    <n v="-36032.535732834323"/>
    <n v="-1967.6322075879643"/>
    <n v="-38000.167940422289"/>
    <n v="0"/>
    <n v="0"/>
    <n v="0"/>
    <n v="-38000.167940422289"/>
  </r>
  <r>
    <x v="6"/>
    <d v="2022-08-03T00:00:00"/>
    <d v="2022-08-23T00:00:00"/>
    <x v="1"/>
    <n v="9"/>
    <n v="3696"/>
    <n v="20.982460991879897"/>
    <n v="10.792264234856615"/>
    <n v="39888.208612030052"/>
    <n v="77551.175825988103"/>
    <n v="-37662.967213958051"/>
    <n v="-2056.6653391530308"/>
    <n v="-39719.632553111078"/>
    <n v="0"/>
    <n v="0"/>
    <n v="0"/>
    <n v="-39719.632553111078"/>
  </r>
  <r>
    <x v="7"/>
    <d v="2022-09-05T00:00:00"/>
    <d v="2022-09-23T00:00:00"/>
    <x v="1"/>
    <n v="9"/>
    <n v="3632"/>
    <n v="20.982460991879897"/>
    <n v="10.792264234856615"/>
    <n v="39197.50370099923"/>
    <n v="76208.298322507791"/>
    <n v="-37010.794621508561"/>
    <n v="-2021.0520865270041"/>
    <n v="-39031.846708035562"/>
    <n v="0"/>
    <n v="0"/>
    <n v="0"/>
    <n v="-39031.846708035562"/>
  </r>
  <r>
    <x v="8"/>
    <d v="2022-10-05T00:00:00"/>
    <d v="2022-10-25T00:00:00"/>
    <x v="1"/>
    <n v="9"/>
    <n v="3337"/>
    <n v="20.982460991879897"/>
    <n v="10.792264234856615"/>
    <n v="36013.785751716525"/>
    <n v="70018.472329903219"/>
    <n v="-34004.686578186695"/>
    <n v="-1856.897250203913"/>
    <n v="-35861.583828390605"/>
    <n v="0"/>
    <n v="0"/>
    <n v="0"/>
    <n v="-35861.583828390605"/>
  </r>
  <r>
    <x v="9"/>
    <d v="2022-11-03T00:00:00"/>
    <d v="2022-11-23T00:00:00"/>
    <x v="1"/>
    <n v="9"/>
    <n v="2496"/>
    <n v="20.982460991879897"/>
    <n v="10.792264234856615"/>
    <n v="26937.491530202111"/>
    <n v="52372.222635732222"/>
    <n v="-25434.731105530111"/>
    <n v="-1388.9168524150334"/>
    <n v="-26823.647957945144"/>
    <n v="0"/>
    <n v="0"/>
    <n v="0"/>
    <n v="-26823.647957945144"/>
  </r>
  <r>
    <x v="10"/>
    <d v="2022-12-05T00:00:00"/>
    <d v="2022-12-23T00:00:00"/>
    <x v="1"/>
    <n v="9"/>
    <n v="2518"/>
    <n v="20.982460991879897"/>
    <n v="10.792264234856615"/>
    <n v="27174.921343368958"/>
    <n v="52833.836777553581"/>
    <n v="-25658.915434184622"/>
    <n v="-1401.1589080052302"/>
    <n v="-27060.074342189851"/>
    <n v="0"/>
    <n v="0"/>
    <n v="0"/>
    <n v="-27060.074342189851"/>
  </r>
  <r>
    <x v="11"/>
    <d v="2023-01-04T00:00:00"/>
    <d v="2023-01-24T00:00:00"/>
    <x v="1"/>
    <n v="9"/>
    <n v="3399"/>
    <n v="20.982460991879897"/>
    <n v="10.792264234856615"/>
    <n v="36682.906134277633"/>
    <n v="71319.384911399771"/>
    <n v="-34636.478777122138"/>
    <n v="-1891.3975886853761"/>
    <n v="-36527.876365807511"/>
    <n v="0"/>
    <n v="0"/>
    <n v="0"/>
    <n v="-36527.876365807511"/>
  </r>
  <r>
    <x v="0"/>
    <d v="2022-02-03T00:00:00"/>
    <d v="2022-02-23T00:00:00"/>
    <x v="2"/>
    <n v="9"/>
    <n v="163"/>
    <n v="20.982460991879897"/>
    <n v="10.792264234856615"/>
    <n v="1759.1390702816284"/>
    <n v="3420.1411416764231"/>
    <n v="-1661.0020713947947"/>
    <n v="-90.702502781911249"/>
    <n v="-1751.704574176706"/>
    <n v="0"/>
    <n v="0"/>
    <n v="0"/>
    <n v="-1751.704574176706"/>
  </r>
  <r>
    <x v="1"/>
    <d v="2022-03-03T00:00:00"/>
    <d v="2022-03-22T00:00:00"/>
    <x v="2"/>
    <n v="9"/>
    <n v="155"/>
    <n v="20.982460991879897"/>
    <n v="10.792264234856615"/>
    <n v="1672.8009564027755"/>
    <n v="3252.2814537413842"/>
    <n v="-1579.4804973386088"/>
    <n v="-86.250846203657929"/>
    <n v="-1665.7313435422666"/>
    <n v="0"/>
    <n v="0"/>
    <n v="0"/>
    <n v="-1665.7313435422666"/>
  </r>
  <r>
    <x v="2"/>
    <d v="2022-04-05T00:00:00"/>
    <d v="2022-04-25T00:00:00"/>
    <x v="2"/>
    <n v="9"/>
    <n v="141"/>
    <n v="20.982460991879897"/>
    <n v="10.792264234856615"/>
    <n v="1521.7092571147828"/>
    <n v="2958.5269998550657"/>
    <n v="-1436.8177427402829"/>
    <n v="-78.460447191714636"/>
    <n v="-1515.2781899319975"/>
    <n v="0"/>
    <n v="0"/>
    <n v="0"/>
    <n v="-1515.2781899319975"/>
  </r>
  <r>
    <x v="3"/>
    <d v="2022-05-04T00:00:00"/>
    <d v="2022-05-24T00:00:00"/>
    <x v="2"/>
    <n v="9"/>
    <n v="92"/>
    <n v="20.982460991879897"/>
    <n v="10.792264234856615"/>
    <n v="992.88830960680866"/>
    <n v="1930.3864112529504"/>
    <n v="-937.49810164614178"/>
    <n v="-51.194050649913095"/>
    <n v="-988.69215229605493"/>
    <n v="0"/>
    <n v="0"/>
    <n v="0"/>
    <n v="-988.69215229605493"/>
  </r>
  <r>
    <x v="4"/>
    <d v="2022-06-03T00:00:00"/>
    <d v="2022-06-23T00:00:00"/>
    <x v="2"/>
    <n v="9"/>
    <n v="131"/>
    <n v="20.982460991879897"/>
    <n v="10.792264234856615"/>
    <n v="1413.7866147662166"/>
    <n v="2748.7023899362666"/>
    <n v="-1334.91577517005"/>
    <n v="-72.895876468897995"/>
    <n v="-1407.811651638948"/>
    <n v="0"/>
    <n v="0"/>
    <n v="0"/>
    <n v="-1407.811651638948"/>
  </r>
  <r>
    <x v="5"/>
    <d v="2022-07-05T00:00:00"/>
    <d v="2022-07-25T00:00:00"/>
    <x v="2"/>
    <n v="9"/>
    <n v="152"/>
    <n v="20.982460991879897"/>
    <n v="10.792264234856615"/>
    <n v="1640.4241636982056"/>
    <n v="3189.3340707657444"/>
    <n v="-1548.9099070675388"/>
    <n v="-84.58147498681295"/>
    <n v="-1633.4913820543518"/>
    <n v="0"/>
    <n v="0"/>
    <n v="0"/>
    <n v="-1633.4913820543518"/>
  </r>
  <r>
    <x v="6"/>
    <d v="2022-08-03T00:00:00"/>
    <d v="2022-08-23T00:00:00"/>
    <x v="2"/>
    <n v="9"/>
    <n v="149"/>
    <n v="20.982460991879897"/>
    <n v="10.792264234856615"/>
    <n v="1608.0473709936357"/>
    <n v="3126.3866877901046"/>
    <n v="-1518.3393167964689"/>
    <n v="-82.912103769967956"/>
    <n v="-1601.2514205664368"/>
    <n v="0"/>
    <n v="0"/>
    <n v="0"/>
    <n v="-1601.2514205664368"/>
  </r>
  <r>
    <x v="7"/>
    <d v="2022-09-05T00:00:00"/>
    <d v="2022-09-23T00:00:00"/>
    <x v="2"/>
    <n v="9"/>
    <n v="137"/>
    <n v="20.982460991879897"/>
    <n v="10.792264234856615"/>
    <n v="1478.5402001753564"/>
    <n v="2874.5971558875458"/>
    <n v="-1396.0569557121894"/>
    <n v="-76.234618902587982"/>
    <n v="-1472.2915746147773"/>
    <n v="0"/>
    <n v="0"/>
    <n v="0"/>
    <n v="-1472.2915746147773"/>
  </r>
  <r>
    <x v="8"/>
    <d v="2022-10-05T00:00:00"/>
    <d v="2022-10-25T00:00:00"/>
    <x v="2"/>
    <n v="9"/>
    <n v="136"/>
    <n v="20.982460991879897"/>
    <n v="10.792264234856615"/>
    <n v="1467.7479359404997"/>
    <n v="2853.6146948956662"/>
    <n v="-1385.8667589551665"/>
    <n v="-75.678161830306323"/>
    <n v="-1461.5449207854729"/>
    <n v="0"/>
    <n v="0"/>
    <n v="0"/>
    <n v="-1461.5449207854729"/>
  </r>
  <r>
    <x v="9"/>
    <d v="2022-11-03T00:00:00"/>
    <d v="2022-11-23T00:00:00"/>
    <x v="2"/>
    <n v="9"/>
    <n v="91"/>
    <n v="20.982460991879897"/>
    <n v="10.792264234856615"/>
    <n v="982.09604537195196"/>
    <n v="1909.4039502610706"/>
    <n v="-927.30790488911862"/>
    <n v="-50.637593577631428"/>
    <n v="-977.94549846675"/>
    <n v="0"/>
    <n v="0"/>
    <n v="0"/>
    <n v="-977.94549846675"/>
  </r>
  <r>
    <x v="10"/>
    <d v="2022-12-05T00:00:00"/>
    <d v="2022-12-23T00:00:00"/>
    <x v="2"/>
    <n v="9"/>
    <n v="113"/>
    <n v="20.982460991879897"/>
    <n v="10.792264234856615"/>
    <n v="1219.5258585387976"/>
    <n v="2371.0180920824282"/>
    <n v="-1151.4922335436306"/>
    <n v="-62.879649167828049"/>
    <n v="-1214.3718827114587"/>
    <n v="0"/>
    <n v="0"/>
    <n v="0"/>
    <n v="-1214.3718827114587"/>
  </r>
  <r>
    <x v="11"/>
    <d v="2023-01-04T00:00:00"/>
    <d v="2023-01-24T00:00:00"/>
    <x v="2"/>
    <n v="9"/>
    <n v="210"/>
    <n v="20.982460991879897"/>
    <n v="10.792264234856615"/>
    <n v="2266.3754893198893"/>
    <n v="4406.3168082947786"/>
    <n v="-2139.9413189748893"/>
    <n v="-116.85598517914947"/>
    <n v="-2256.797304154039"/>
    <n v="0"/>
    <n v="0"/>
    <n v="0"/>
    <n v="-2256.797304154039"/>
  </r>
  <r>
    <x v="0"/>
    <d v="2022-02-03T00:00:00"/>
    <d v="2022-02-23T00:00:00"/>
    <x v="3"/>
    <n v="9"/>
    <n v="893"/>
    <n v="20.982460991879897"/>
    <n v="10.792264234856615"/>
    <n v="9637.491961726957"/>
    <n v="18737.33766574875"/>
    <n v="-9099.8457040217927"/>
    <n v="-496.91616554752602"/>
    <n v="-9596.7618695693182"/>
    <n v="0"/>
    <n v="0"/>
    <n v="0"/>
    <n v="-9596.7618695693182"/>
  </r>
  <r>
    <x v="1"/>
    <d v="2022-03-03T00:00:00"/>
    <d v="2022-03-22T00:00:00"/>
    <x v="3"/>
    <n v="9"/>
    <n v="796"/>
    <n v="20.982460991879897"/>
    <n v="10.792264234856615"/>
    <n v="8590.642330945866"/>
    <n v="16702.0389495364"/>
    <n v="-8111.3966185905338"/>
    <n v="-442.93982953620463"/>
    <n v="-8554.3364481267381"/>
    <n v="0"/>
    <n v="0"/>
    <n v="0"/>
    <n v="-8554.3364481267381"/>
  </r>
  <r>
    <x v="2"/>
    <d v="2022-04-05T00:00:00"/>
    <d v="2022-04-25T00:00:00"/>
    <x v="3"/>
    <n v="9"/>
    <n v="700"/>
    <n v="20.982460991879897"/>
    <n v="10.792264234856615"/>
    <n v="7554.5849643996307"/>
    <n v="14687.722694315928"/>
    <n v="-7133.1377299162968"/>
    <n v="-389.51995059716489"/>
    <n v="-7522.6576805134619"/>
    <n v="0"/>
    <n v="0"/>
    <n v="0"/>
    <n v="-7522.6576805134619"/>
  </r>
  <r>
    <x v="3"/>
    <d v="2022-05-04T00:00:00"/>
    <d v="2022-05-24T00:00:00"/>
    <x v="3"/>
    <n v="9"/>
    <n v="549"/>
    <n v="20.982460991879897"/>
    <n v="10.792264234856615"/>
    <n v="5924.9530649362814"/>
    <n v="11519.371084542063"/>
    <n v="-5594.4180196057814"/>
    <n v="-305.49493268263359"/>
    <n v="-5899.912952288415"/>
    <n v="0"/>
    <n v="0"/>
    <n v="0"/>
    <n v="-5899.912952288415"/>
  </r>
  <r>
    <x v="4"/>
    <d v="2022-06-03T00:00:00"/>
    <d v="2022-06-23T00:00:00"/>
    <x v="3"/>
    <n v="9"/>
    <n v="753"/>
    <n v="20.982460991879897"/>
    <n v="10.792264234856615"/>
    <n v="8126.5749688470314"/>
    <n v="15799.793126885563"/>
    <n v="-7673.2181580385313"/>
    <n v="-419.01217542809309"/>
    <n v="-8092.2303334666249"/>
    <n v="0"/>
    <n v="0"/>
    <n v="0"/>
    <n v="-8092.2303334666249"/>
  </r>
  <r>
    <x v="5"/>
    <d v="2022-07-05T00:00:00"/>
    <d v="2022-07-25T00:00:00"/>
    <x v="3"/>
    <n v="9"/>
    <n v="942"/>
    <n v="20.982460991879897"/>
    <n v="10.792264234856615"/>
    <n v="10166.312909234932"/>
    <n v="19765.478254350863"/>
    <n v="-9599.1653451159309"/>
    <n v="-524.18256208932758"/>
    <n v="-10123.347907205258"/>
    <n v="0"/>
    <n v="0"/>
    <n v="0"/>
    <n v="-10123.347907205258"/>
  </r>
  <r>
    <x v="6"/>
    <d v="2022-08-03T00:00:00"/>
    <d v="2022-08-23T00:00:00"/>
    <x v="3"/>
    <n v="9"/>
    <n v="1036"/>
    <n v="20.982460991879897"/>
    <n v="10.792264234856615"/>
    <n v="11180.785747311453"/>
    <n v="21737.829587587574"/>
    <n v="-10557.043840276121"/>
    <n v="-576.48952688380393"/>
    <n v="-11133.533367159926"/>
    <n v="0"/>
    <n v="0"/>
    <n v="0"/>
    <n v="-11133.533367159926"/>
  </r>
  <r>
    <x v="7"/>
    <d v="2022-09-05T00:00:00"/>
    <d v="2022-09-23T00:00:00"/>
    <x v="3"/>
    <n v="9"/>
    <n v="954"/>
    <n v="20.982460991879897"/>
    <n v="10.792264234856615"/>
    <n v="10295.82008005321"/>
    <n v="20017.267786253422"/>
    <n v="-9721.4477062002115"/>
    <n v="-530.86004695670749"/>
    <n v="-10252.30775315692"/>
    <n v="0"/>
    <n v="0"/>
    <n v="0"/>
    <n v="-10252.30775315692"/>
  </r>
  <r>
    <x v="8"/>
    <d v="2022-10-05T00:00:00"/>
    <d v="2022-10-25T00:00:00"/>
    <x v="3"/>
    <n v="9"/>
    <n v="860"/>
    <n v="20.982460991879897"/>
    <n v="10.792264234856615"/>
    <n v="9281.3472419766895"/>
    <n v="18044.916453016711"/>
    <n v="-8763.5692110400214"/>
    <n v="-478.55308216223114"/>
    <n v="-9242.122293202252"/>
    <n v="0"/>
    <n v="0"/>
    <n v="0"/>
    <n v="-9242.122293202252"/>
  </r>
  <r>
    <x v="9"/>
    <d v="2022-11-03T00:00:00"/>
    <d v="2022-11-23T00:00:00"/>
    <x v="3"/>
    <n v="9"/>
    <n v="589"/>
    <n v="20.982460991879897"/>
    <n v="10.792264234856615"/>
    <n v="6356.6436343305468"/>
    <n v="12358.669524217259"/>
    <n v="-6002.0258898867123"/>
    <n v="-327.75321557390015"/>
    <n v="-6329.7791054606123"/>
    <n v="0"/>
    <n v="0"/>
    <n v="0"/>
    <n v="-6329.7791054606123"/>
  </r>
  <r>
    <x v="10"/>
    <d v="2022-12-05T00:00:00"/>
    <d v="2022-12-23T00:00:00"/>
    <x v="3"/>
    <n v="9"/>
    <n v="730"/>
    <n v="20.982460991879897"/>
    <n v="10.792264234856615"/>
    <n v="7878.3528914453291"/>
    <n v="15317.196524072326"/>
    <n v="-7438.8436326269966"/>
    <n v="-406.2136627656148"/>
    <n v="-7845.0572953926112"/>
    <n v="0"/>
    <n v="0"/>
    <n v="0"/>
    <n v="-7845.0572953926112"/>
  </r>
  <r>
    <x v="11"/>
    <d v="2023-01-04T00:00:00"/>
    <d v="2023-01-24T00:00:00"/>
    <x v="3"/>
    <n v="9"/>
    <n v="1123"/>
    <n v="20.982460991879897"/>
    <n v="10.792264234856615"/>
    <n v="12119.712735743979"/>
    <n v="23563.303693881124"/>
    <n v="-11443.590958137145"/>
    <n v="-624.90129217230879"/>
    <n v="-12068.492250309453"/>
    <n v="0"/>
    <n v="0"/>
    <n v="0"/>
    <n v="-12068.492250309453"/>
  </r>
  <r>
    <x v="0"/>
    <d v="2022-02-03T00:00:00"/>
    <d v="2022-02-23T00:00:00"/>
    <x v="4"/>
    <n v="9"/>
    <n v="48"/>
    <n v="20.982460991879897"/>
    <n v="10.792264234856615"/>
    <n v="518.02868327311751"/>
    <n v="1007.1581276102351"/>
    <n v="-489.12944433711755"/>
    <n v="-26.709939469519874"/>
    <n v="-515.83938380663744"/>
    <n v="0"/>
    <n v="0"/>
    <n v="0"/>
    <n v="-515.83938380663744"/>
  </r>
  <r>
    <x v="1"/>
    <d v="2022-03-03T00:00:00"/>
    <d v="2022-03-22T00:00:00"/>
    <x v="4"/>
    <n v="9"/>
    <n v="45"/>
    <n v="20.982460991879897"/>
    <n v="10.792264234856615"/>
    <n v="485.65189056854769"/>
    <n v="944.21074463459536"/>
    <n v="-458.55885406604767"/>
    <n v="-25.040568252674884"/>
    <n v="-483.59942231872253"/>
    <n v="0"/>
    <n v="0"/>
    <n v="0"/>
    <n v="-483.59942231872253"/>
  </r>
  <r>
    <x v="2"/>
    <d v="2022-04-05T00:00:00"/>
    <d v="2022-04-25T00:00:00"/>
    <x v="4"/>
    <n v="9"/>
    <n v="38"/>
    <n v="20.982460991879897"/>
    <n v="10.792264234856615"/>
    <n v="410.10604092455139"/>
    <n v="797.3335176914361"/>
    <n v="-387.22747676688471"/>
    <n v="-21.145368746703237"/>
    <n v="-408.37284551358795"/>
    <n v="0"/>
    <n v="0"/>
    <n v="0"/>
    <n v="-408.37284551358795"/>
  </r>
  <r>
    <x v="3"/>
    <d v="2022-05-04T00:00:00"/>
    <d v="2022-05-24T00:00:00"/>
    <x v="4"/>
    <n v="9"/>
    <n v="26"/>
    <n v="20.982460991879897"/>
    <n v="10.792264234856615"/>
    <n v="280.59887010627199"/>
    <n v="545.54398578887731"/>
    <n v="-264.94511568260532"/>
    <n v="-14.467883879323265"/>
    <n v="-279.41299956192859"/>
    <n v="0"/>
    <n v="0"/>
    <n v="0"/>
    <n v="-279.41299956192859"/>
  </r>
  <r>
    <x v="4"/>
    <d v="2022-06-03T00:00:00"/>
    <d v="2022-06-23T00:00:00"/>
    <x v="4"/>
    <n v="9"/>
    <n v="43"/>
    <n v="20.982460991879897"/>
    <n v="10.792264234856615"/>
    <n v="464.06736209883445"/>
    <n v="902.24582265083552"/>
    <n v="-438.17846055200107"/>
    <n v="-23.927654108111557"/>
    <n v="-462.10611466011261"/>
    <n v="0"/>
    <n v="0"/>
    <n v="0"/>
    <n v="-462.10611466011261"/>
  </r>
  <r>
    <x v="5"/>
    <d v="2022-07-05T00:00:00"/>
    <d v="2022-07-25T00:00:00"/>
    <x v="4"/>
    <n v="9"/>
    <n v="54"/>
    <n v="20.982460991879897"/>
    <n v="10.792264234856615"/>
    <n v="582.78226868225727"/>
    <n v="1133.0528935615143"/>
    <n v="-550.27062487925707"/>
    <n v="-30.048681903209861"/>
    <n v="-580.31930678246692"/>
    <n v="0"/>
    <n v="0"/>
    <n v="0"/>
    <n v="-580.31930678246692"/>
  </r>
  <r>
    <x v="6"/>
    <d v="2022-08-03T00:00:00"/>
    <d v="2022-08-23T00:00:00"/>
    <x v="4"/>
    <n v="9"/>
    <n v="57"/>
    <n v="20.982460991879897"/>
    <n v="10.792264234856615"/>
    <n v="615.15906138682703"/>
    <n v="1196.0002765371541"/>
    <n v="-580.84121515032712"/>
    <n v="-31.718053120054851"/>
    <n v="-612.55926827038195"/>
    <n v="0"/>
    <n v="0"/>
    <n v="0"/>
    <n v="-612.55926827038195"/>
  </r>
  <r>
    <x v="7"/>
    <d v="2022-09-05T00:00:00"/>
    <d v="2022-09-23T00:00:00"/>
    <x v="4"/>
    <n v="9"/>
    <n v="54"/>
    <n v="20.982460991879897"/>
    <n v="10.792264234856615"/>
    <n v="582.78226868225727"/>
    <n v="1133.0528935615143"/>
    <n v="-550.27062487925707"/>
    <n v="-30.048681903209861"/>
    <n v="-580.31930678246692"/>
    <n v="0"/>
    <n v="0"/>
    <n v="0"/>
    <n v="-580.31930678246692"/>
  </r>
  <r>
    <x v="8"/>
    <d v="2022-10-05T00:00:00"/>
    <d v="2022-10-25T00:00:00"/>
    <x v="4"/>
    <n v="9"/>
    <n v="53"/>
    <n v="20.982460991879897"/>
    <n v="10.792264234856615"/>
    <n v="571.99000444740057"/>
    <n v="1112.0704325696345"/>
    <n v="-540.08042812223391"/>
    <n v="-29.492224830928198"/>
    <n v="-569.57265295316211"/>
    <n v="0"/>
    <n v="0"/>
    <n v="0"/>
    <n v="-569.57265295316211"/>
  </r>
  <r>
    <x v="9"/>
    <d v="2022-11-03T00:00:00"/>
    <d v="2022-11-23T00:00:00"/>
    <x v="4"/>
    <n v="9"/>
    <n v="31"/>
    <n v="20.982460991879897"/>
    <n v="10.792264234856615"/>
    <n v="334.5601912805551"/>
    <n v="650.45629074827684"/>
    <n v="-315.89609946772174"/>
    <n v="-17.250169240731587"/>
    <n v="-333.14626870845331"/>
    <n v="0"/>
    <n v="0"/>
    <n v="0"/>
    <n v="-333.14626870845331"/>
  </r>
  <r>
    <x v="10"/>
    <d v="2022-12-05T00:00:00"/>
    <d v="2022-12-23T00:00:00"/>
    <x v="4"/>
    <n v="9"/>
    <n v="38"/>
    <n v="20.982460991879897"/>
    <n v="10.792264234856615"/>
    <n v="410.10604092455139"/>
    <n v="797.3335176914361"/>
    <n v="-387.22747676688471"/>
    <n v="-21.145368746703237"/>
    <n v="-408.37284551358795"/>
    <n v="0"/>
    <n v="0"/>
    <n v="0"/>
    <n v="-408.37284551358795"/>
  </r>
  <r>
    <x v="11"/>
    <d v="2023-01-04T00:00:00"/>
    <d v="2023-01-24T00:00:00"/>
    <x v="4"/>
    <n v="9"/>
    <n v="58"/>
    <n v="20.982460991879897"/>
    <n v="10.792264234856615"/>
    <n v="625.95132562168374"/>
    <n v="1216.982737529034"/>
    <n v="-591.03141190735028"/>
    <n v="-32.274510192336521"/>
    <n v="-623.30592209968677"/>
    <n v="0"/>
    <n v="0"/>
    <n v="0"/>
    <n v="-623.30592209968677"/>
  </r>
  <r>
    <x v="0"/>
    <d v="2022-02-03T00:00:00"/>
    <d v="2022-02-23T00:00:00"/>
    <x v="5"/>
    <n v="9"/>
    <n v="50"/>
    <n v="20.982460991879897"/>
    <n v="10.792264234856615"/>
    <n v="539.6132117428308"/>
    <n v="1049.1230495939949"/>
    <n v="-509.50983785116409"/>
    <n v="-27.822853614083204"/>
    <n v="-537.33269146524731"/>
    <n v="0"/>
    <n v="0"/>
    <n v="0"/>
    <n v="-537.33269146524731"/>
  </r>
  <r>
    <x v="1"/>
    <d v="2022-03-03T00:00:00"/>
    <d v="2022-03-22T00:00:00"/>
    <x v="5"/>
    <n v="9"/>
    <n v="49"/>
    <n v="20.982460991879897"/>
    <n v="10.792264234856615"/>
    <n v="528.8209475079741"/>
    <n v="1028.140588602115"/>
    <n v="-499.31964109414093"/>
    <n v="-27.266396541801541"/>
    <n v="-526.58603763594249"/>
    <n v="0"/>
    <n v="0"/>
    <n v="0"/>
    <n v="-526.58603763594249"/>
  </r>
  <r>
    <x v="2"/>
    <d v="2022-04-05T00:00:00"/>
    <d v="2022-04-25T00:00:00"/>
    <x v="5"/>
    <n v="9"/>
    <n v="45"/>
    <n v="20.982460991879897"/>
    <n v="10.792264234856615"/>
    <n v="485.65189056854769"/>
    <n v="944.21074463459536"/>
    <n v="-458.55885406604767"/>
    <n v="-25.040568252674884"/>
    <n v="-483.59942231872253"/>
    <n v="0"/>
    <n v="0"/>
    <n v="0"/>
    <n v="-483.59942231872253"/>
  </r>
  <r>
    <x v="3"/>
    <d v="2022-05-04T00:00:00"/>
    <d v="2022-05-24T00:00:00"/>
    <x v="5"/>
    <n v="9"/>
    <n v="34"/>
    <n v="20.982460991879897"/>
    <n v="10.792264234856615"/>
    <n v="366.93698398512493"/>
    <n v="713.40367372391654"/>
    <n v="-346.46668973879162"/>
    <n v="-18.919540457576581"/>
    <n v="-365.38623019636822"/>
    <n v="0"/>
    <n v="0"/>
    <n v="0"/>
    <n v="-365.38623019636822"/>
  </r>
  <r>
    <x v="4"/>
    <d v="2022-06-03T00:00:00"/>
    <d v="2022-06-23T00:00:00"/>
    <x v="5"/>
    <n v="9"/>
    <n v="42"/>
    <n v="20.982460991879897"/>
    <n v="10.792264234856615"/>
    <n v="453.27509786397786"/>
    <n v="881.26336165895566"/>
    <n v="-427.9882637949778"/>
    <n v="-23.371197035829891"/>
    <n v="-451.35946083080768"/>
    <n v="0"/>
    <n v="0"/>
    <n v="0"/>
    <n v="-451.35946083080768"/>
  </r>
  <r>
    <x v="5"/>
    <d v="2022-07-05T00:00:00"/>
    <d v="2022-07-25T00:00:00"/>
    <x v="5"/>
    <n v="9"/>
    <n v="49"/>
    <n v="20.982460991879897"/>
    <n v="10.792264234856615"/>
    <n v="528.8209475079741"/>
    <n v="1028.140588602115"/>
    <n v="-499.31964109414093"/>
    <n v="-27.266396541801541"/>
    <n v="-526.58603763594249"/>
    <n v="0"/>
    <n v="0"/>
    <n v="0"/>
    <n v="-526.58603763594249"/>
  </r>
  <r>
    <x v="6"/>
    <d v="2022-08-03T00:00:00"/>
    <d v="2022-08-23T00:00:00"/>
    <x v="5"/>
    <n v="9"/>
    <n v="54"/>
    <n v="20.982460991879897"/>
    <n v="10.792264234856615"/>
    <n v="582.78226868225727"/>
    <n v="1133.0528935615143"/>
    <n v="-550.27062487925707"/>
    <n v="-30.048681903209861"/>
    <n v="-580.31930678246692"/>
    <n v="0"/>
    <n v="0"/>
    <n v="0"/>
    <n v="-580.31930678246692"/>
  </r>
  <r>
    <x v="7"/>
    <d v="2022-09-05T00:00:00"/>
    <d v="2022-09-23T00:00:00"/>
    <x v="5"/>
    <n v="9"/>
    <n v="47"/>
    <n v="20.982460991879897"/>
    <n v="10.792264234856615"/>
    <n v="507.23641903826092"/>
    <n v="986.17566661835519"/>
    <n v="-478.93924758009427"/>
    <n v="-26.153482397238214"/>
    <n v="-505.09272997733251"/>
    <n v="0"/>
    <n v="0"/>
    <n v="0"/>
    <n v="-505.09272997733251"/>
  </r>
  <r>
    <x v="8"/>
    <d v="2022-10-05T00:00:00"/>
    <d v="2022-10-25T00:00:00"/>
    <x v="5"/>
    <n v="9"/>
    <n v="47"/>
    <n v="20.982460991879897"/>
    <n v="10.792264234856615"/>
    <n v="507.23641903826092"/>
    <n v="986.17566661835519"/>
    <n v="-478.93924758009427"/>
    <n v="-26.153482397238214"/>
    <n v="-505.09272997733251"/>
    <n v="0"/>
    <n v="0"/>
    <n v="0"/>
    <n v="-505.09272997733251"/>
  </r>
  <r>
    <x v="9"/>
    <d v="2022-11-03T00:00:00"/>
    <d v="2022-11-23T00:00:00"/>
    <x v="5"/>
    <n v="9"/>
    <n v="39"/>
    <n v="20.982460991879897"/>
    <n v="10.792264234856615"/>
    <n v="420.89830515940798"/>
    <n v="818.31597868331596"/>
    <n v="-397.41767352390798"/>
    <n v="-21.701825818984897"/>
    <n v="-419.11949934289288"/>
    <n v="0"/>
    <n v="0"/>
    <n v="0"/>
    <n v="-419.11949934289288"/>
  </r>
  <r>
    <x v="10"/>
    <d v="2022-12-05T00:00:00"/>
    <d v="2022-12-23T00:00:00"/>
    <x v="5"/>
    <n v="9"/>
    <n v="45"/>
    <n v="20.982460991879897"/>
    <n v="10.792264234856615"/>
    <n v="485.65189056854769"/>
    <n v="944.21074463459536"/>
    <n v="-458.55885406604767"/>
    <n v="-25.040568252674884"/>
    <n v="-483.59942231872253"/>
    <n v="0"/>
    <n v="0"/>
    <n v="0"/>
    <n v="-483.59942231872253"/>
  </r>
  <r>
    <x v="11"/>
    <d v="2023-01-04T00:00:00"/>
    <d v="2023-01-24T00:00:00"/>
    <x v="5"/>
    <n v="9"/>
    <n v="61"/>
    <n v="20.982460991879897"/>
    <n v="10.792264234856615"/>
    <n v="658.3281183262535"/>
    <n v="1279.9301205046738"/>
    <n v="-621.60200217842032"/>
    <n v="-33.943881409181508"/>
    <n v="-655.54588358760179"/>
    <n v="0"/>
    <n v="0"/>
    <n v="0"/>
    <n v="-655.54588358760179"/>
  </r>
  <r>
    <x v="0"/>
    <d v="2022-02-03T00:00:00"/>
    <d v="2022-02-23T00:00:00"/>
    <x v="6"/>
    <n v="9"/>
    <n v="92"/>
    <n v="20.982460991879897"/>
    <n v="10.792264234856615"/>
    <n v="992.88830960680866"/>
    <n v="1930.3864112529504"/>
    <n v="-937.49810164614178"/>
    <n v="-51.194050649913095"/>
    <n v="-988.69215229605493"/>
    <n v="0"/>
    <n v="0"/>
    <n v="0"/>
    <n v="-988.69215229605493"/>
  </r>
  <r>
    <x v="1"/>
    <d v="2022-03-03T00:00:00"/>
    <d v="2022-03-22T00:00:00"/>
    <x v="6"/>
    <n v="9"/>
    <n v="88"/>
    <n v="20.982460991879897"/>
    <n v="10.792264234856615"/>
    <n v="949.71925266738219"/>
    <n v="1846.456567285431"/>
    <n v="-896.7373146180488"/>
    <n v="-48.968222360786442"/>
    <n v="-945.7055369788352"/>
    <n v="0"/>
    <n v="0"/>
    <n v="0"/>
    <n v="-945.7055369788352"/>
  </r>
  <r>
    <x v="2"/>
    <d v="2022-04-05T00:00:00"/>
    <d v="2022-04-25T00:00:00"/>
    <x v="6"/>
    <n v="9"/>
    <n v="71"/>
    <n v="20.982460991879897"/>
    <n v="10.792264234856615"/>
    <n v="766.25076067481973"/>
    <n v="1489.7547304234727"/>
    <n v="-723.50396974865293"/>
    <n v="-39.508452131998148"/>
    <n v="-763.01242188065112"/>
    <n v="0"/>
    <n v="0"/>
    <n v="0"/>
    <n v="-763.01242188065112"/>
  </r>
  <r>
    <x v="3"/>
    <d v="2022-05-04T00:00:00"/>
    <d v="2022-05-24T00:00:00"/>
    <x v="6"/>
    <n v="9"/>
    <n v="76"/>
    <n v="20.982460991879897"/>
    <n v="10.792264234856615"/>
    <n v="820.21208184910279"/>
    <n v="1594.6670353828722"/>
    <n v="-774.45495353376941"/>
    <n v="-42.290737493406475"/>
    <n v="-816.74569102717589"/>
    <n v="0"/>
    <n v="0"/>
    <n v="0"/>
    <n v="-816.74569102717589"/>
  </r>
  <r>
    <x v="4"/>
    <d v="2022-06-03T00:00:00"/>
    <d v="2022-06-23T00:00:00"/>
    <x v="6"/>
    <n v="9"/>
    <n v="134"/>
    <n v="20.982460991879897"/>
    <n v="10.792264234856615"/>
    <n v="1446.1634074707865"/>
    <n v="2811.649772911906"/>
    <n v="-1365.4863654411195"/>
    <n v="-74.565247685742989"/>
    <n v="-1440.0516131268625"/>
    <n v="0"/>
    <n v="0"/>
    <n v="0"/>
    <n v="-1440.0516131268625"/>
  </r>
  <r>
    <x v="5"/>
    <d v="2022-07-05T00:00:00"/>
    <d v="2022-07-25T00:00:00"/>
    <x v="6"/>
    <n v="9"/>
    <n v="145"/>
    <n v="20.982460991879897"/>
    <n v="10.792264234856615"/>
    <n v="1564.8783140542091"/>
    <n v="3042.4568438225851"/>
    <n v="-1477.578529768376"/>
    <n v="-80.686275480841289"/>
    <n v="-1558.2648052492173"/>
    <n v="0"/>
    <n v="0"/>
    <n v="0"/>
    <n v="-1558.2648052492173"/>
  </r>
  <r>
    <x v="6"/>
    <d v="2022-08-03T00:00:00"/>
    <d v="2022-08-23T00:00:00"/>
    <x v="6"/>
    <n v="9"/>
    <n v="161"/>
    <n v="20.982460991879897"/>
    <n v="10.792264234856615"/>
    <n v="1737.554541811915"/>
    <n v="3378.1762196926634"/>
    <n v="-1640.6216778807484"/>
    <n v="-89.589588637347916"/>
    <n v="-1730.2112665180964"/>
    <n v="0"/>
    <n v="0"/>
    <n v="0"/>
    <n v="-1730.2112665180964"/>
  </r>
  <r>
    <x v="7"/>
    <d v="2022-09-05T00:00:00"/>
    <d v="2022-09-23T00:00:00"/>
    <x v="6"/>
    <n v="9"/>
    <n v="154"/>
    <n v="20.982460991879897"/>
    <n v="10.792264234856615"/>
    <n v="1662.0086921679188"/>
    <n v="3231.2989927495041"/>
    <n v="-1569.2903005815854"/>
    <n v="-85.694389131376269"/>
    <n v="-1654.9846897129617"/>
    <n v="0"/>
    <n v="0"/>
    <n v="0"/>
    <n v="-1654.9846897129617"/>
  </r>
  <r>
    <x v="8"/>
    <d v="2022-10-05T00:00:00"/>
    <d v="2022-10-25T00:00:00"/>
    <x v="6"/>
    <n v="9"/>
    <n v="132"/>
    <n v="20.982460991879897"/>
    <n v="10.792264234856615"/>
    <n v="1424.5788790010731"/>
    <n v="2769.6848509281463"/>
    <n v="-1345.1059719270731"/>
    <n v="-73.452333541179655"/>
    <n v="-1418.5583054682529"/>
    <n v="0"/>
    <n v="0"/>
    <n v="0"/>
    <n v="-1418.5583054682529"/>
  </r>
  <r>
    <x v="9"/>
    <d v="2022-11-03T00:00:00"/>
    <d v="2022-11-23T00:00:00"/>
    <x v="6"/>
    <n v="9"/>
    <n v="91"/>
    <n v="20.982460991879897"/>
    <n v="10.792264234856615"/>
    <n v="982.09604537195196"/>
    <n v="1909.4039502610706"/>
    <n v="-927.30790488911862"/>
    <n v="-50.637593577631428"/>
    <n v="-977.94549846675"/>
    <n v="0"/>
    <n v="0"/>
    <n v="0"/>
    <n v="-977.94549846675"/>
  </r>
  <r>
    <x v="10"/>
    <d v="2022-12-05T00:00:00"/>
    <d v="2022-12-23T00:00:00"/>
    <x v="6"/>
    <n v="9"/>
    <n v="67"/>
    <n v="20.982460991879897"/>
    <n v="10.792264234856615"/>
    <n v="723.08170373539326"/>
    <n v="1405.824886455953"/>
    <n v="-682.74318272055973"/>
    <n v="-37.282623842871494"/>
    <n v="-720.02580656343127"/>
    <n v="0"/>
    <n v="0"/>
    <n v="0"/>
    <n v="-720.02580656343127"/>
  </r>
  <r>
    <x v="11"/>
    <d v="2023-01-04T00:00:00"/>
    <d v="2023-01-24T00:00:00"/>
    <x v="6"/>
    <n v="9"/>
    <n v="96"/>
    <n v="20.982460991879897"/>
    <n v="10.792264234856615"/>
    <n v="1036.057366546235"/>
    <n v="2014.3162552204701"/>
    <n v="-978.2588886742351"/>
    <n v="-53.419878939039748"/>
    <n v="-1031.6787676132749"/>
    <n v="0"/>
    <n v="0"/>
    <n v="0"/>
    <n v="-1031.6787676132749"/>
  </r>
  <r>
    <x v="0"/>
    <d v="2022-02-03T00:00:00"/>
    <d v="2022-02-23T00:00:00"/>
    <x v="7"/>
    <n v="9"/>
    <n v="42"/>
    <n v="20.982460991879897"/>
    <n v="10.792264234856615"/>
    <n v="453.27509786397786"/>
    <n v="881.26336165895566"/>
    <n v="-427.9882637949778"/>
    <n v="-23.371197035829891"/>
    <n v="-451.35946083080768"/>
    <n v="0"/>
    <n v="0"/>
    <n v="0"/>
    <n v="-451.35946083080768"/>
  </r>
  <r>
    <x v="1"/>
    <d v="2022-03-03T00:00:00"/>
    <d v="2022-03-22T00:00:00"/>
    <x v="7"/>
    <n v="9"/>
    <n v="43"/>
    <n v="20.982460991879897"/>
    <n v="10.792264234856615"/>
    <n v="464.06736209883445"/>
    <n v="902.24582265083552"/>
    <n v="-438.17846055200107"/>
    <n v="-23.927654108111557"/>
    <n v="-462.10611466011261"/>
    <n v="0"/>
    <n v="0"/>
    <n v="0"/>
    <n v="-462.10611466011261"/>
  </r>
  <r>
    <x v="2"/>
    <d v="2022-04-05T00:00:00"/>
    <d v="2022-04-25T00:00:00"/>
    <x v="7"/>
    <n v="9"/>
    <n v="42"/>
    <n v="20.982460991879897"/>
    <n v="10.792264234856615"/>
    <n v="453.27509786397786"/>
    <n v="881.26336165895566"/>
    <n v="-427.9882637949778"/>
    <n v="-23.371197035829891"/>
    <n v="-451.35946083080768"/>
    <n v="0"/>
    <n v="0"/>
    <n v="0"/>
    <n v="-451.35946083080768"/>
  </r>
  <r>
    <x v="3"/>
    <d v="2022-05-04T00:00:00"/>
    <d v="2022-05-24T00:00:00"/>
    <x v="7"/>
    <n v="9"/>
    <n v="52"/>
    <n v="20.982460991879897"/>
    <n v="10.792264234856615"/>
    <n v="561.19774021254398"/>
    <n v="1091.0879715777546"/>
    <n v="-529.89023136521064"/>
    <n v="-28.935767758646531"/>
    <n v="-558.82599912385717"/>
    <n v="0"/>
    <n v="0"/>
    <n v="0"/>
    <n v="-558.82599912385717"/>
  </r>
  <r>
    <x v="4"/>
    <d v="2022-06-03T00:00:00"/>
    <d v="2022-06-23T00:00:00"/>
    <x v="7"/>
    <n v="9"/>
    <n v="52"/>
    <n v="20.982460991879897"/>
    <n v="10.792264234856615"/>
    <n v="561.19774021254398"/>
    <n v="1091.0879715777546"/>
    <n v="-529.89023136521064"/>
    <n v="-28.935767758646531"/>
    <n v="-558.82599912385717"/>
    <n v="0"/>
    <n v="0"/>
    <n v="0"/>
    <n v="-558.82599912385717"/>
  </r>
  <r>
    <x v="5"/>
    <d v="2022-07-05T00:00:00"/>
    <d v="2022-07-25T00:00:00"/>
    <x v="7"/>
    <n v="9"/>
    <n v="56"/>
    <n v="20.982460991879897"/>
    <n v="10.792264234856615"/>
    <n v="604.36679715197045"/>
    <n v="1175.0178155452743"/>
    <n v="-570.65101839330384"/>
    <n v="-31.161596047773187"/>
    <n v="-601.81261444107702"/>
    <n v="0"/>
    <n v="0"/>
    <n v="0"/>
    <n v="-601.81261444107702"/>
  </r>
  <r>
    <x v="6"/>
    <d v="2022-08-03T00:00:00"/>
    <d v="2022-08-23T00:00:00"/>
    <x v="7"/>
    <n v="9"/>
    <n v="58"/>
    <n v="20.982460991879897"/>
    <n v="10.792264234856615"/>
    <n v="625.95132562168374"/>
    <n v="1216.982737529034"/>
    <n v="-591.03141190735028"/>
    <n v="-32.274510192336521"/>
    <n v="-623.30592209968677"/>
    <n v="0"/>
    <n v="0"/>
    <n v="0"/>
    <n v="-623.30592209968677"/>
  </r>
  <r>
    <x v="7"/>
    <d v="2022-09-05T00:00:00"/>
    <d v="2022-09-23T00:00:00"/>
    <x v="7"/>
    <n v="9"/>
    <n v="60"/>
    <n v="20.982460991879897"/>
    <n v="10.792264234856615"/>
    <n v="647.53585409139691"/>
    <n v="1258.9476595127937"/>
    <n v="-611.41180542139682"/>
    <n v="-33.387424336899841"/>
    <n v="-644.79922975829663"/>
    <n v="0"/>
    <n v="0"/>
    <n v="0"/>
    <n v="-644.79922975829663"/>
  </r>
  <r>
    <x v="8"/>
    <d v="2022-10-05T00:00:00"/>
    <d v="2022-10-25T00:00:00"/>
    <x v="7"/>
    <n v="9"/>
    <n v="58"/>
    <n v="20.982460991879897"/>
    <n v="10.792264234856615"/>
    <n v="625.95132562168374"/>
    <n v="1216.982737529034"/>
    <n v="-591.03141190735028"/>
    <n v="-32.274510192336521"/>
    <n v="-623.30592209968677"/>
    <n v="0"/>
    <n v="0"/>
    <n v="0"/>
    <n v="-623.30592209968677"/>
  </r>
  <r>
    <x v="9"/>
    <d v="2022-11-03T00:00:00"/>
    <d v="2022-11-23T00:00:00"/>
    <x v="7"/>
    <n v="9"/>
    <n v="56"/>
    <n v="20.982460991879897"/>
    <n v="10.792264234856615"/>
    <n v="604.36679715197045"/>
    <n v="1175.0178155452743"/>
    <n v="-570.65101839330384"/>
    <n v="-31.161596047773187"/>
    <n v="-601.81261444107702"/>
    <n v="0"/>
    <n v="0"/>
    <n v="0"/>
    <n v="-601.81261444107702"/>
  </r>
  <r>
    <x v="10"/>
    <d v="2022-12-05T00:00:00"/>
    <d v="2022-12-23T00:00:00"/>
    <x v="7"/>
    <n v="9"/>
    <n v="59"/>
    <n v="20.982460991879897"/>
    <n v="10.792264234856615"/>
    <n v="636.74358985654032"/>
    <n v="1237.9651985209139"/>
    <n v="-601.22160866437355"/>
    <n v="-32.830967264618181"/>
    <n v="-634.0525759289917"/>
    <n v="0"/>
    <n v="0"/>
    <n v="0"/>
    <n v="-634.0525759289917"/>
  </r>
  <r>
    <x v="11"/>
    <d v="2023-01-04T00:00:00"/>
    <d v="2023-01-24T00:00:00"/>
    <x v="7"/>
    <n v="9"/>
    <n v="58"/>
    <n v="20.982460991879897"/>
    <n v="10.792264234856615"/>
    <n v="625.95132562168374"/>
    <n v="1216.982737529034"/>
    <n v="-591.03141190735028"/>
    <n v="-32.274510192336521"/>
    <n v="-623.30592209968677"/>
    <n v="0"/>
    <n v="0"/>
    <n v="0"/>
    <n v="-623.30592209968677"/>
  </r>
  <r>
    <x v="0"/>
    <d v="2022-02-03T00:00:00"/>
    <d v="2022-02-23T00:00:00"/>
    <x v="8"/>
    <n v="9"/>
    <n v="1045"/>
    <n v="20.982460991879897"/>
    <n v="10.792264234856615"/>
    <n v="11277.916125425163"/>
    <n v="21926.671736514494"/>
    <n v="-10648.755611089331"/>
    <n v="-581.49764053433898"/>
    <n v="-11230.25325162367"/>
    <n v="0"/>
    <n v="0"/>
    <n v="0"/>
    <n v="-11230.25325162367"/>
  </r>
  <r>
    <x v="1"/>
    <d v="2022-03-03T00:00:00"/>
    <d v="2022-03-22T00:00:00"/>
    <x v="8"/>
    <n v="9"/>
    <n v="1114"/>
    <n v="20.982460991879897"/>
    <n v="10.792264234856615"/>
    <n v="12022.58235763027"/>
    <n v="23374.461544954207"/>
    <n v="-11351.879187323937"/>
    <n v="-619.89317852177385"/>
    <n v="-11971.772365845711"/>
    <n v="0"/>
    <n v="0"/>
    <n v="0"/>
    <n v="-11971.772365845711"/>
  </r>
  <r>
    <x v="2"/>
    <d v="2022-04-05T00:00:00"/>
    <d v="2022-04-25T00:00:00"/>
    <x v="8"/>
    <n v="9"/>
    <n v="977"/>
    <n v="20.982460991879897"/>
    <n v="10.792264234856615"/>
    <n v="10544.042157454913"/>
    <n v="20499.864389066661"/>
    <n v="-9955.8222316117481"/>
    <n v="-543.65855961918578"/>
    <n v="-10499.480791230933"/>
    <n v="0"/>
    <n v="0"/>
    <n v="0"/>
    <n v="-10499.480791230933"/>
  </r>
  <r>
    <x v="3"/>
    <d v="2022-05-04T00:00:00"/>
    <d v="2022-05-24T00:00:00"/>
    <x v="8"/>
    <n v="9"/>
    <n v="539"/>
    <n v="20.982460991879897"/>
    <n v="10.792264234856615"/>
    <n v="5817.0304225877153"/>
    <n v="11309.546474623265"/>
    <n v="-5492.5160520355494"/>
    <n v="-299.93036195981693"/>
    <n v="-5792.4464139953661"/>
    <n v="0"/>
    <n v="0"/>
    <n v="0"/>
    <n v="-5792.4464139953661"/>
  </r>
  <r>
    <x v="4"/>
    <d v="2022-06-03T00:00:00"/>
    <d v="2022-06-23T00:00:00"/>
    <x v="8"/>
    <n v="9"/>
    <n v="754"/>
    <n v="20.982460991879897"/>
    <n v="10.792264234856615"/>
    <n v="8137.3672330818881"/>
    <n v="15820.775587877442"/>
    <n v="-7683.4083547955543"/>
    <n v="-419.56863250037475"/>
    <n v="-8102.9769872959287"/>
    <n v="0"/>
    <n v="0"/>
    <n v="0"/>
    <n v="-8102.9769872959287"/>
  </r>
  <r>
    <x v="5"/>
    <d v="2022-07-05T00:00:00"/>
    <d v="2022-07-25T00:00:00"/>
    <x v="8"/>
    <n v="9"/>
    <n v="946"/>
    <n v="20.982460991879897"/>
    <n v="10.792264234856615"/>
    <n v="10209.481966174359"/>
    <n v="19849.408098318381"/>
    <n v="-9639.9261321440226"/>
    <n v="-526.40839037845421"/>
    <n v="-10166.334522522477"/>
    <n v="0"/>
    <n v="0"/>
    <n v="0"/>
    <n v="-10166.334522522477"/>
  </r>
  <r>
    <x v="6"/>
    <d v="2022-08-03T00:00:00"/>
    <d v="2022-08-23T00:00:00"/>
    <x v="8"/>
    <n v="9"/>
    <n v="979"/>
    <n v="20.982460991879897"/>
    <n v="10.792264234856615"/>
    <n v="10565.626685924626"/>
    <n v="20541.82931105042"/>
    <n v="-9976.2026251257939"/>
    <n v="-544.7714737637491"/>
    <n v="-10520.974098889543"/>
    <n v="0"/>
    <n v="0"/>
    <n v="0"/>
    <n v="-10520.974098889543"/>
  </r>
  <r>
    <x v="7"/>
    <d v="2022-09-05T00:00:00"/>
    <d v="2022-09-23T00:00:00"/>
    <x v="8"/>
    <n v="9"/>
    <n v="973"/>
    <n v="20.982460991879897"/>
    <n v="10.792264234856615"/>
    <n v="10500.873100515486"/>
    <n v="20415.934545099139"/>
    <n v="-9915.0614445836527"/>
    <n v="-541.43273133005914"/>
    <n v="-10456.494175913711"/>
    <n v="0"/>
    <n v="0"/>
    <n v="0"/>
    <n v="-10456.494175913711"/>
  </r>
  <r>
    <x v="8"/>
    <d v="2022-10-05T00:00:00"/>
    <d v="2022-10-25T00:00:00"/>
    <x v="8"/>
    <n v="9"/>
    <n v="847"/>
    <n v="20.982460991879897"/>
    <n v="10.792264234856615"/>
    <n v="9141.0478069235523"/>
    <n v="17772.144460122272"/>
    <n v="-8631.0966531987197"/>
    <n v="-471.3191402225695"/>
    <n v="-9102.415793421289"/>
    <n v="0"/>
    <n v="0"/>
    <n v="0"/>
    <n v="-9102.415793421289"/>
  </r>
  <r>
    <x v="9"/>
    <d v="2022-11-03T00:00:00"/>
    <d v="2022-11-23T00:00:00"/>
    <x v="8"/>
    <n v="9"/>
    <n v="609"/>
    <n v="20.982460991879897"/>
    <n v="10.792264234856615"/>
    <n v="6572.488919027679"/>
    <n v="12778.318744054857"/>
    <n v="-6205.8298250271782"/>
    <n v="-338.88235701953346"/>
    <n v="-6544.7121820467119"/>
    <n v="0"/>
    <n v="0"/>
    <n v="0"/>
    <n v="-6544.7121820467119"/>
  </r>
  <r>
    <x v="10"/>
    <d v="2022-12-05T00:00:00"/>
    <d v="2022-12-23T00:00:00"/>
    <x v="8"/>
    <n v="9"/>
    <n v="807"/>
    <n v="20.982460991879897"/>
    <n v="10.792264234856615"/>
    <n v="8709.3572375292879"/>
    <n v="16932.846020447076"/>
    <n v="-8223.4887829177878"/>
    <n v="-449.06085733130294"/>
    <n v="-8672.5496402490899"/>
    <n v="0"/>
    <n v="0"/>
    <n v="0"/>
    <n v="-8672.5496402490899"/>
  </r>
  <r>
    <x v="11"/>
    <d v="2023-01-04T00:00:00"/>
    <d v="2023-01-24T00:00:00"/>
    <x v="8"/>
    <n v="9"/>
    <n v="1434"/>
    <n v="20.982460991879897"/>
    <n v="10.792264234856615"/>
    <n v="15476.106912784386"/>
    <n v="30088.849062355774"/>
    <n v="-14612.742149571388"/>
    <n v="-797.95944165190622"/>
    <n v="-15410.701591223295"/>
    <n v="0"/>
    <n v="0"/>
    <n v="0"/>
    <n v="-15410.701591223295"/>
  </r>
  <r>
    <x v="0"/>
    <d v="2022-02-03T00:00:00"/>
    <d v="2022-02-23T00:00:00"/>
    <x v="9"/>
    <n v="9"/>
    <n v="8"/>
    <n v="20.982460991879897"/>
    <n v="10.792264234856615"/>
    <n v="86.338113878852923"/>
    <n v="167.85968793503918"/>
    <n v="-81.521574056186253"/>
    <n v="-4.4516565782533135"/>
    <n v="-85.973230634439574"/>
    <n v="0"/>
    <n v="0"/>
    <n v="0"/>
    <n v="-85.973230634439574"/>
  </r>
  <r>
    <x v="1"/>
    <d v="2022-03-03T00:00:00"/>
    <d v="2022-03-22T00:00:00"/>
    <x v="9"/>
    <n v="9"/>
    <n v="7"/>
    <n v="20.982460991879897"/>
    <n v="10.792264234856615"/>
    <n v="75.545849643996306"/>
    <n v="146.87722694315929"/>
    <n v="-71.33137729916298"/>
    <n v="-3.8951995059716484"/>
    <n v="-75.226576805134627"/>
    <n v="0"/>
    <n v="0"/>
    <n v="0"/>
    <n v="-75.226576805134627"/>
  </r>
  <r>
    <x v="2"/>
    <d v="2022-04-05T00:00:00"/>
    <d v="2022-04-25T00:00:00"/>
    <x v="9"/>
    <n v="9"/>
    <n v="5"/>
    <n v="20.982460991879897"/>
    <n v="10.792264234856615"/>
    <n v="53.961321174283079"/>
    <n v="104.91230495939948"/>
    <n v="-50.950983785116399"/>
    <n v="-2.7822853614083205"/>
    <n v="-53.733269146524719"/>
    <n v="0"/>
    <n v="0"/>
    <n v="0"/>
    <n v="-53.733269146524719"/>
  </r>
  <r>
    <x v="3"/>
    <d v="2022-05-04T00:00:00"/>
    <d v="2022-05-24T00:00:00"/>
    <x v="9"/>
    <n v="9"/>
    <n v="7"/>
    <n v="20.982460991879897"/>
    <n v="10.792264234856615"/>
    <n v="75.545849643996306"/>
    <n v="146.87722694315929"/>
    <n v="-71.33137729916298"/>
    <n v="-3.8951995059716484"/>
    <n v="-75.226576805134627"/>
    <n v="0"/>
    <n v="0"/>
    <n v="0"/>
    <n v="-75.226576805134627"/>
  </r>
  <r>
    <x v="4"/>
    <d v="2022-06-03T00:00:00"/>
    <d v="2022-06-23T00:00:00"/>
    <x v="9"/>
    <n v="9"/>
    <n v="10"/>
    <n v="20.982460991879897"/>
    <n v="10.792264234856615"/>
    <n v="107.92264234856616"/>
    <n v="209.82460991879896"/>
    <n v="-101.9019675702328"/>
    <n v="-5.564570722816641"/>
    <n v="-107.46653829304944"/>
    <n v="0"/>
    <n v="0"/>
    <n v="0"/>
    <n v="-107.46653829304944"/>
  </r>
  <r>
    <x v="5"/>
    <d v="2022-07-05T00:00:00"/>
    <d v="2022-07-25T00:00:00"/>
    <x v="9"/>
    <n v="9"/>
    <n v="14"/>
    <n v="20.982460991879897"/>
    <n v="10.792264234856615"/>
    <n v="151.09169928799261"/>
    <n v="293.75445388631857"/>
    <n v="-142.66275459832596"/>
    <n v="-7.7903990119432969"/>
    <n v="-150.45315361026925"/>
    <n v="0"/>
    <n v="0"/>
    <n v="0"/>
    <n v="-150.45315361026925"/>
  </r>
  <r>
    <x v="6"/>
    <d v="2022-08-03T00:00:00"/>
    <d v="2022-08-23T00:00:00"/>
    <x v="9"/>
    <n v="9"/>
    <n v="18"/>
    <n v="20.982460991879897"/>
    <n v="10.792264234856615"/>
    <n v="194.26075622741908"/>
    <n v="377.68429785383813"/>
    <n v="-183.42354162641905"/>
    <n v="-10.016227301069954"/>
    <n v="-193.43976892748901"/>
    <n v="0"/>
    <n v="0"/>
    <n v="0"/>
    <n v="-193.43976892748901"/>
  </r>
  <r>
    <x v="7"/>
    <d v="2022-09-05T00:00:00"/>
    <d v="2022-09-23T00:00:00"/>
    <x v="9"/>
    <n v="9"/>
    <n v="16"/>
    <n v="20.982460991879897"/>
    <n v="10.792264234856615"/>
    <n v="172.67622775770585"/>
    <n v="335.71937587007835"/>
    <n v="-163.04314811237251"/>
    <n v="-8.903313156506627"/>
    <n v="-171.94646126887915"/>
    <n v="0"/>
    <n v="0"/>
    <n v="0"/>
    <n v="-171.94646126887915"/>
  </r>
  <r>
    <x v="8"/>
    <d v="2022-10-05T00:00:00"/>
    <d v="2022-10-25T00:00:00"/>
    <x v="9"/>
    <n v="9"/>
    <n v="9"/>
    <n v="20.982460991879897"/>
    <n v="10.792264234856615"/>
    <n v="97.13037811370954"/>
    <n v="188.84214892691907"/>
    <n v="-91.711770813209526"/>
    <n v="-5.0081136505349768"/>
    <n v="-96.719884463744506"/>
    <n v="0"/>
    <n v="0"/>
    <n v="0"/>
    <n v="-96.719884463744506"/>
  </r>
  <r>
    <x v="9"/>
    <d v="2022-11-03T00:00:00"/>
    <d v="2022-11-23T00:00:00"/>
    <x v="9"/>
    <n v="9"/>
    <n v="6"/>
    <n v="20.982460991879897"/>
    <n v="10.792264234856615"/>
    <n v="64.753585409139689"/>
    <n v="125.89476595127938"/>
    <n v="-61.141180542139693"/>
    <n v="-3.3387424336899842"/>
    <n v="-64.47992297582968"/>
    <n v="0"/>
    <n v="0"/>
    <n v="0"/>
    <n v="-64.47992297582968"/>
  </r>
  <r>
    <x v="10"/>
    <d v="2022-12-05T00:00:00"/>
    <d v="2022-12-23T00:00:00"/>
    <x v="9"/>
    <n v="9"/>
    <n v="6"/>
    <n v="20.982460991879897"/>
    <n v="10.792264234856615"/>
    <n v="64.753585409139689"/>
    <n v="125.89476595127938"/>
    <n v="-61.141180542139693"/>
    <n v="-3.3387424336899842"/>
    <n v="-64.47992297582968"/>
    <n v="0"/>
    <n v="0"/>
    <n v="0"/>
    <n v="-64.47992297582968"/>
  </r>
  <r>
    <x v="11"/>
    <d v="2023-01-04T00:00:00"/>
    <d v="2023-01-24T00:00:00"/>
    <x v="9"/>
    <n v="9"/>
    <n v="8"/>
    <n v="20.982460991879897"/>
    <n v="10.792264234856615"/>
    <n v="86.338113878852923"/>
    <n v="167.85968793503918"/>
    <n v="-81.521574056186253"/>
    <n v="-4.4516565782533135"/>
    <n v="-85.973230634439574"/>
    <n v="0"/>
    <n v="0"/>
    <n v="0"/>
    <n v="-85.973230634439574"/>
  </r>
  <r>
    <x v="0"/>
    <d v="2022-02-03T00:00:00"/>
    <d v="2022-02-23T00:00:00"/>
    <x v="10"/>
    <n v="9"/>
    <n v="3"/>
    <n v="20.982460991879897"/>
    <n v="10.792264234856615"/>
    <n v="32.376792704569844"/>
    <n v="62.947382975639691"/>
    <n v="-30.570590271069847"/>
    <n v="-1.6693712168449921"/>
    <n v="-32.23996148791484"/>
    <n v="0"/>
    <n v="0"/>
    <n v="0"/>
    <n v="-32.23996148791484"/>
  </r>
  <r>
    <x v="1"/>
    <d v="2022-03-03T00:00:00"/>
    <d v="2022-03-22T00:00:00"/>
    <x v="10"/>
    <n v="9"/>
    <n v="2"/>
    <n v="20.982460991879897"/>
    <n v="10.792264234856615"/>
    <n v="21.584528469713231"/>
    <n v="41.964921983759794"/>
    <n v="-20.380393514046563"/>
    <n v="-1.1129141445633284"/>
    <n v="-21.493307658609893"/>
    <n v="0"/>
    <n v="0"/>
    <n v="0"/>
    <n v="-21.493307658609893"/>
  </r>
  <r>
    <x v="2"/>
    <d v="2022-04-05T00:00:00"/>
    <d v="2022-04-25T00:00:00"/>
    <x v="10"/>
    <n v="9"/>
    <n v="3"/>
    <n v="20.982460991879897"/>
    <n v="10.792264234856615"/>
    <n v="32.376792704569844"/>
    <n v="62.947382975639691"/>
    <n v="-30.570590271069847"/>
    <n v="-1.6693712168449921"/>
    <n v="-32.23996148791484"/>
    <n v="0"/>
    <n v="0"/>
    <n v="0"/>
    <n v="-32.23996148791484"/>
  </r>
  <r>
    <x v="3"/>
    <d v="2022-05-04T00:00:00"/>
    <d v="2022-05-24T00:00:00"/>
    <x v="10"/>
    <n v="9"/>
    <n v="2"/>
    <n v="20.982460991879897"/>
    <n v="10.792264234856615"/>
    <n v="21.584528469713231"/>
    <n v="41.964921983759794"/>
    <n v="-20.380393514046563"/>
    <n v="-1.1129141445633284"/>
    <n v="-21.493307658609893"/>
    <n v="0"/>
    <n v="0"/>
    <n v="0"/>
    <n v="-21.493307658609893"/>
  </r>
  <r>
    <x v="4"/>
    <d v="2022-06-03T00:00:00"/>
    <d v="2022-06-23T00:00:00"/>
    <x v="10"/>
    <n v="9"/>
    <n v="3"/>
    <n v="20.982460991879897"/>
    <n v="10.792264234856615"/>
    <n v="32.376792704569844"/>
    <n v="62.947382975639691"/>
    <n v="-30.570590271069847"/>
    <n v="-1.6693712168449921"/>
    <n v="-32.23996148791484"/>
    <n v="0"/>
    <n v="0"/>
    <n v="0"/>
    <n v="-32.23996148791484"/>
  </r>
  <r>
    <x v="5"/>
    <d v="2022-07-05T00:00:00"/>
    <d v="2022-07-25T00:00:00"/>
    <x v="10"/>
    <n v="9"/>
    <n v="5"/>
    <n v="20.982460991879897"/>
    <n v="10.792264234856615"/>
    <n v="53.961321174283079"/>
    <n v="104.91230495939948"/>
    <n v="-50.950983785116399"/>
    <n v="-2.7822853614083205"/>
    <n v="-53.733269146524719"/>
    <n v="0"/>
    <n v="0"/>
    <n v="0"/>
    <n v="-53.733269146524719"/>
  </r>
  <r>
    <x v="6"/>
    <d v="2022-08-03T00:00:00"/>
    <d v="2022-08-23T00:00:00"/>
    <x v="10"/>
    <n v="9"/>
    <n v="6"/>
    <n v="20.982460991879897"/>
    <n v="10.792264234856615"/>
    <n v="64.753585409139689"/>
    <n v="125.89476595127938"/>
    <n v="-61.141180542139693"/>
    <n v="-3.3387424336899842"/>
    <n v="-64.47992297582968"/>
    <n v="0"/>
    <n v="0"/>
    <n v="0"/>
    <n v="-64.47992297582968"/>
  </r>
  <r>
    <x v="7"/>
    <d v="2022-09-05T00:00:00"/>
    <d v="2022-09-23T00:00:00"/>
    <x v="10"/>
    <n v="9"/>
    <n v="6"/>
    <n v="20.982460991879897"/>
    <n v="10.792264234856615"/>
    <n v="64.753585409139689"/>
    <n v="125.89476595127938"/>
    <n v="-61.141180542139693"/>
    <n v="-3.3387424336899842"/>
    <n v="-64.47992297582968"/>
    <n v="0"/>
    <n v="0"/>
    <n v="0"/>
    <n v="-64.47992297582968"/>
  </r>
  <r>
    <x v="8"/>
    <d v="2022-10-05T00:00:00"/>
    <d v="2022-10-25T00:00:00"/>
    <x v="10"/>
    <n v="9"/>
    <n v="3"/>
    <n v="20.982460991879897"/>
    <n v="10.792264234856615"/>
    <n v="32.376792704569844"/>
    <n v="62.947382975639691"/>
    <n v="-30.570590271069847"/>
    <n v="-1.6693712168449921"/>
    <n v="-32.23996148791484"/>
    <n v="0"/>
    <n v="0"/>
    <n v="0"/>
    <n v="-32.23996148791484"/>
  </r>
  <r>
    <x v="9"/>
    <d v="2022-11-03T00:00:00"/>
    <d v="2022-11-23T00:00:00"/>
    <x v="10"/>
    <n v="9"/>
    <n v="2"/>
    <n v="20.982460991879897"/>
    <n v="10.792264234856615"/>
    <n v="21.584528469713231"/>
    <n v="41.964921983759794"/>
    <n v="-20.380393514046563"/>
    <n v="-1.1129141445633284"/>
    <n v="-21.493307658609893"/>
    <n v="0"/>
    <n v="0"/>
    <n v="0"/>
    <n v="-21.493307658609893"/>
  </r>
  <r>
    <x v="10"/>
    <d v="2022-12-05T00:00:00"/>
    <d v="2022-12-23T00:00:00"/>
    <x v="10"/>
    <n v="9"/>
    <n v="1"/>
    <n v="20.982460991879897"/>
    <n v="10.792264234856615"/>
    <n v="10.792264234856615"/>
    <n v="20.982460991879897"/>
    <n v="-10.190196757023282"/>
    <n v="-0.55645707228166419"/>
    <n v="-10.746653829304947"/>
    <n v="0"/>
    <n v="0"/>
    <n v="0"/>
    <n v="-10.746653829304947"/>
  </r>
  <r>
    <x v="11"/>
    <d v="2023-01-04T00:00:00"/>
    <d v="2023-01-24T00:00:00"/>
    <x v="10"/>
    <n v="9"/>
    <n v="4"/>
    <n v="20.982460991879897"/>
    <n v="10.792264234856615"/>
    <n v="43.169056939426461"/>
    <n v="83.929843967519588"/>
    <n v="-40.760787028093127"/>
    <n v="-2.2258282891266568"/>
    <n v="-42.986615317219787"/>
    <n v="0"/>
    <n v="0"/>
    <n v="0"/>
    <n v="-42.986615317219787"/>
  </r>
  <r>
    <x v="0"/>
    <d v="2022-02-03T00:00:00"/>
    <d v="2022-02-23T00:00:00"/>
    <x v="11"/>
    <n v="9"/>
    <n v="121"/>
    <n v="20.982460991879897"/>
    <n v="10.792264234856615"/>
    <n v="1305.8639724176505"/>
    <n v="2538.8777800174676"/>
    <n v="-1233.013807599817"/>
    <n v="-67.331305746081355"/>
    <n v="-1300.3451133458984"/>
    <n v="0"/>
    <n v="0"/>
    <n v="0"/>
    <n v="-1300.3451133458984"/>
  </r>
  <r>
    <x v="1"/>
    <d v="2022-03-03T00:00:00"/>
    <d v="2022-03-22T00:00:00"/>
    <x v="11"/>
    <n v="9"/>
    <n v="109"/>
    <n v="20.982460991879897"/>
    <n v="10.792264234856615"/>
    <n v="1176.356801599371"/>
    <n v="2287.0882481149088"/>
    <n v="-1110.7314465155378"/>
    <n v="-60.653820878701382"/>
    <n v="-1171.3852673942392"/>
    <n v="0"/>
    <n v="0"/>
    <n v="0"/>
    <n v="-1171.3852673942392"/>
  </r>
  <r>
    <x v="2"/>
    <d v="2022-04-05T00:00:00"/>
    <d v="2022-04-25T00:00:00"/>
    <x v="11"/>
    <n v="9"/>
    <n v="95"/>
    <n v="20.982460991879897"/>
    <n v="10.792264234856615"/>
    <n v="1025.2651023113785"/>
    <n v="1993.3337942285902"/>
    <n v="-968.06869191721171"/>
    <n v="-52.863421866758095"/>
    <n v="-1020.9321137839698"/>
    <n v="0"/>
    <n v="0"/>
    <n v="0"/>
    <n v="-1020.9321137839698"/>
  </r>
  <r>
    <x v="3"/>
    <d v="2022-05-04T00:00:00"/>
    <d v="2022-05-24T00:00:00"/>
    <x v="11"/>
    <n v="9"/>
    <n v="93"/>
    <n v="20.982460991879897"/>
    <n v="10.792264234856615"/>
    <n v="1003.6805738416653"/>
    <n v="1951.3688722448305"/>
    <n v="-947.68829840316528"/>
    <n v="-51.750507722194762"/>
    <n v="-999.43880612536009"/>
    <n v="0"/>
    <n v="0"/>
    <n v="0"/>
    <n v="-999.43880612536009"/>
  </r>
  <r>
    <x v="4"/>
    <d v="2022-06-03T00:00:00"/>
    <d v="2022-06-23T00:00:00"/>
    <x v="11"/>
    <n v="9"/>
    <n v="125"/>
    <n v="20.982460991879897"/>
    <n v="10.792264234856615"/>
    <n v="1349.0330293570769"/>
    <n v="2622.807623984987"/>
    <n v="-1273.7745946279101"/>
    <n v="-69.557134035208009"/>
    <n v="-1343.3317286631182"/>
    <n v="0"/>
    <n v="0"/>
    <n v="0"/>
    <n v="-1343.3317286631182"/>
  </r>
  <r>
    <x v="5"/>
    <d v="2022-07-05T00:00:00"/>
    <d v="2022-07-25T00:00:00"/>
    <x v="11"/>
    <n v="9"/>
    <n v="159"/>
    <n v="20.982460991879897"/>
    <n v="10.792264234856615"/>
    <n v="1715.9700133422018"/>
    <n v="3336.2112977089037"/>
    <n v="-1620.2412843667018"/>
    <n v="-88.476674492784596"/>
    <n v="-1708.7179588594865"/>
    <n v="0"/>
    <n v="0"/>
    <n v="0"/>
    <n v="-1708.7179588594865"/>
  </r>
  <r>
    <x v="6"/>
    <d v="2022-08-03T00:00:00"/>
    <d v="2022-08-23T00:00:00"/>
    <x v="11"/>
    <n v="9"/>
    <n v="176"/>
    <n v="20.982460991879897"/>
    <n v="10.792264234856615"/>
    <n v="1899.4385053347644"/>
    <n v="3692.913134570862"/>
    <n v="-1793.4746292360976"/>
    <n v="-97.936444721572883"/>
    <n v="-1891.4110739576704"/>
    <n v="0"/>
    <n v="0"/>
    <n v="0"/>
    <n v="-1891.4110739576704"/>
  </r>
  <r>
    <x v="7"/>
    <d v="2022-09-05T00:00:00"/>
    <d v="2022-09-23T00:00:00"/>
    <x v="11"/>
    <n v="9"/>
    <n v="167"/>
    <n v="20.982460991879897"/>
    <n v="10.792264234856615"/>
    <n v="1802.3081272210547"/>
    <n v="3504.070985643943"/>
    <n v="-1701.7628584228883"/>
    <n v="-92.928331071037903"/>
    <n v="-1794.6911894939262"/>
    <n v="0"/>
    <n v="0"/>
    <n v="0"/>
    <n v="-1794.6911894939262"/>
  </r>
  <r>
    <x v="8"/>
    <d v="2022-10-05T00:00:00"/>
    <d v="2022-10-25T00:00:00"/>
    <x v="11"/>
    <n v="9"/>
    <n v="153"/>
    <n v="20.982460991879897"/>
    <n v="10.792264234856615"/>
    <n v="1651.2164279330621"/>
    <n v="3210.316531757624"/>
    <n v="-1559.100103824562"/>
    <n v="-85.137932059094609"/>
    <n v="-1644.2380358836565"/>
    <n v="0"/>
    <n v="0"/>
    <n v="0"/>
    <n v="-1644.2380358836565"/>
  </r>
  <r>
    <x v="9"/>
    <d v="2022-11-03T00:00:00"/>
    <d v="2022-11-23T00:00:00"/>
    <x v="11"/>
    <n v="9"/>
    <n v="104"/>
    <n v="20.982460991879897"/>
    <n v="10.792264234856615"/>
    <n v="1122.395480425088"/>
    <n v="2182.1759431555092"/>
    <n v="-1059.7804627304213"/>
    <n v="-57.871535517293061"/>
    <n v="-1117.6519982477143"/>
    <n v="0"/>
    <n v="0"/>
    <n v="0"/>
    <n v="-1117.6519982477143"/>
  </r>
  <r>
    <x v="10"/>
    <d v="2022-12-05T00:00:00"/>
    <d v="2022-12-23T00:00:00"/>
    <x v="11"/>
    <n v="9"/>
    <n v="104"/>
    <n v="20.982460991879897"/>
    <n v="10.792264234856615"/>
    <n v="1122.395480425088"/>
    <n v="2182.1759431555092"/>
    <n v="-1059.7804627304213"/>
    <n v="-57.871535517293061"/>
    <n v="-1117.6519982477143"/>
    <n v="0"/>
    <n v="0"/>
    <n v="0"/>
    <n v="-1117.6519982477143"/>
  </r>
  <r>
    <x v="11"/>
    <d v="2023-01-04T00:00:00"/>
    <d v="2023-01-24T00:00:00"/>
    <x v="11"/>
    <n v="9"/>
    <n v="139"/>
    <n v="20.982460991879897"/>
    <n v="10.792264234856615"/>
    <n v="1500.1247286450696"/>
    <n v="2916.5620778713055"/>
    <n v="-1416.4373492262359"/>
    <n v="-77.347533047151316"/>
    <n v="-1493.7848822733872"/>
    <n v="0"/>
    <n v="0"/>
    <n v="0"/>
    <n v="-1493.7848822733872"/>
  </r>
  <r>
    <x v="0"/>
    <d v="2022-02-03T00:00:00"/>
    <d v="2022-02-23T00:00:00"/>
    <x v="12"/>
    <n v="9"/>
    <n v="8"/>
    <n v="20.982460991879897"/>
    <n v="10.792264234856615"/>
    <n v="86.338113878852923"/>
    <n v="167.85968793503918"/>
    <n v="-81.521574056186253"/>
    <n v="-4.4516565782533135"/>
    <n v="-85.973230634439574"/>
    <n v="0"/>
    <n v="0"/>
    <n v="0"/>
    <n v="-85.973230634439574"/>
  </r>
  <r>
    <x v="1"/>
    <d v="2022-03-03T00:00:00"/>
    <d v="2022-03-22T00:00:00"/>
    <x v="12"/>
    <n v="9"/>
    <n v="11"/>
    <n v="20.982460991879897"/>
    <n v="10.792264234856615"/>
    <n v="118.71490658342277"/>
    <n v="230.80707091067887"/>
    <n v="-112.0921643272561"/>
    <n v="-6.1210277950983052"/>
    <n v="-118.2131921223544"/>
    <n v="0"/>
    <n v="0"/>
    <n v="0"/>
    <n v="-118.2131921223544"/>
  </r>
  <r>
    <x v="2"/>
    <d v="2022-04-05T00:00:00"/>
    <d v="2022-04-25T00:00:00"/>
    <x v="12"/>
    <n v="9"/>
    <n v="9"/>
    <n v="20.982460991879897"/>
    <n v="10.792264234856615"/>
    <n v="97.13037811370954"/>
    <n v="188.84214892691907"/>
    <n v="-91.711770813209526"/>
    <n v="-5.0081136505349768"/>
    <n v="-96.719884463744506"/>
    <n v="0"/>
    <n v="0"/>
    <n v="0"/>
    <n v="-96.719884463744506"/>
  </r>
  <r>
    <x v="3"/>
    <d v="2022-05-04T00:00:00"/>
    <d v="2022-05-24T00:00:00"/>
    <x v="12"/>
    <n v="9"/>
    <n v="11"/>
    <n v="20.982460991879897"/>
    <n v="10.792264234856615"/>
    <n v="118.71490658342277"/>
    <n v="230.80707091067887"/>
    <n v="-112.0921643272561"/>
    <n v="-6.1210277950983052"/>
    <n v="-118.2131921223544"/>
    <n v="0"/>
    <n v="0"/>
    <n v="0"/>
    <n v="-118.2131921223544"/>
  </r>
  <r>
    <x v="4"/>
    <d v="2022-06-03T00:00:00"/>
    <d v="2022-06-23T00:00:00"/>
    <x v="12"/>
    <n v="9"/>
    <n v="11"/>
    <n v="20.982460991879897"/>
    <n v="10.792264234856615"/>
    <n v="118.71490658342277"/>
    <n v="230.80707091067887"/>
    <n v="-112.0921643272561"/>
    <n v="-6.1210277950983052"/>
    <n v="-118.2131921223544"/>
    <n v="0"/>
    <n v="0"/>
    <n v="0"/>
    <n v="-118.2131921223544"/>
  </r>
  <r>
    <x v="5"/>
    <d v="2022-07-05T00:00:00"/>
    <d v="2022-07-25T00:00:00"/>
    <x v="12"/>
    <n v="9"/>
    <n v="14"/>
    <n v="20.982460991879897"/>
    <n v="10.792264234856615"/>
    <n v="151.09169928799261"/>
    <n v="293.75445388631857"/>
    <n v="-142.66275459832596"/>
    <n v="-7.7903990119432969"/>
    <n v="-150.45315361026925"/>
    <n v="0"/>
    <n v="0"/>
    <n v="0"/>
    <n v="-150.45315361026925"/>
  </r>
  <r>
    <x v="6"/>
    <d v="2022-08-03T00:00:00"/>
    <d v="2022-08-23T00:00:00"/>
    <x v="12"/>
    <n v="9"/>
    <n v="13"/>
    <n v="20.982460991879897"/>
    <n v="10.792264234856615"/>
    <n v="140.29943505313599"/>
    <n v="272.77199289443865"/>
    <n v="-132.47255784130266"/>
    <n v="-7.2339419396616327"/>
    <n v="-139.70649978096429"/>
    <n v="0"/>
    <n v="0"/>
    <n v="0"/>
    <n v="-139.70649978096429"/>
  </r>
  <r>
    <x v="7"/>
    <d v="2022-09-05T00:00:00"/>
    <d v="2022-09-23T00:00:00"/>
    <x v="12"/>
    <n v="9"/>
    <n v="13"/>
    <n v="20.982460991879897"/>
    <n v="10.792264234856615"/>
    <n v="140.29943505313599"/>
    <n v="272.77199289443865"/>
    <n v="-132.47255784130266"/>
    <n v="-7.2339419396616327"/>
    <n v="-139.70649978096429"/>
    <n v="0"/>
    <n v="0"/>
    <n v="0"/>
    <n v="-139.70649978096429"/>
  </r>
  <r>
    <x v="8"/>
    <d v="2022-10-05T00:00:00"/>
    <d v="2022-10-25T00:00:00"/>
    <x v="12"/>
    <n v="9"/>
    <n v="13"/>
    <n v="20.982460991879897"/>
    <n v="10.792264234856615"/>
    <n v="140.29943505313599"/>
    <n v="272.77199289443865"/>
    <n v="-132.47255784130266"/>
    <n v="-7.2339419396616327"/>
    <n v="-139.70649978096429"/>
    <n v="0"/>
    <n v="0"/>
    <n v="0"/>
    <n v="-139.70649978096429"/>
  </r>
  <r>
    <x v="9"/>
    <d v="2022-11-03T00:00:00"/>
    <d v="2022-11-23T00:00:00"/>
    <x v="12"/>
    <n v="9"/>
    <n v="10"/>
    <n v="20.982460991879897"/>
    <n v="10.792264234856615"/>
    <n v="107.92264234856616"/>
    <n v="209.82460991879896"/>
    <n v="-101.9019675702328"/>
    <n v="-5.564570722816641"/>
    <n v="-107.46653829304944"/>
    <n v="0"/>
    <n v="0"/>
    <n v="0"/>
    <n v="-107.46653829304944"/>
  </r>
  <r>
    <x v="10"/>
    <d v="2022-12-05T00:00:00"/>
    <d v="2022-12-23T00:00:00"/>
    <x v="12"/>
    <n v="9"/>
    <n v="9"/>
    <n v="20.982460991879897"/>
    <n v="10.792264234856615"/>
    <n v="97.13037811370954"/>
    <n v="188.84214892691907"/>
    <n v="-91.711770813209526"/>
    <n v="-5.0081136505349768"/>
    <n v="-96.719884463744506"/>
    <n v="0"/>
    <n v="0"/>
    <n v="0"/>
    <n v="-96.719884463744506"/>
  </r>
  <r>
    <x v="11"/>
    <d v="2023-01-04T00:00:00"/>
    <d v="2023-01-24T00:00:00"/>
    <x v="12"/>
    <n v="9"/>
    <n v="9"/>
    <n v="20.982460991879897"/>
    <n v="10.792264234856615"/>
    <n v="97.13037811370954"/>
    <n v="188.84214892691907"/>
    <n v="-91.711770813209526"/>
    <n v="-5.0081136505349768"/>
    <n v="-96.719884463744506"/>
    <n v="0"/>
    <n v="0"/>
    <n v="0"/>
    <n v="-96.719884463744506"/>
  </r>
  <r>
    <x v="0"/>
    <d v="2022-02-03T00:00:00"/>
    <d v="2022-02-23T00:00:00"/>
    <x v="13"/>
    <n v="9"/>
    <n v="22"/>
    <n v="20.982460991879897"/>
    <n v="10.792264234856615"/>
    <n v="237.42981316684555"/>
    <n v="461.61414182135775"/>
    <n v="-224.1843286545122"/>
    <n v="-12.24205559019661"/>
    <n v="-236.4263842447088"/>
    <n v="0"/>
    <n v="0"/>
    <n v="0"/>
    <n v="-236.4263842447088"/>
  </r>
  <r>
    <x v="1"/>
    <d v="2022-03-03T00:00:00"/>
    <d v="2022-03-22T00:00:00"/>
    <x v="13"/>
    <n v="9"/>
    <n v="22"/>
    <n v="20.982460991879897"/>
    <n v="10.792264234856615"/>
    <n v="237.42981316684555"/>
    <n v="461.61414182135775"/>
    <n v="-224.1843286545122"/>
    <n v="-12.24205559019661"/>
    <n v="-236.4263842447088"/>
    <n v="0"/>
    <n v="0"/>
    <n v="0"/>
    <n v="-236.4263842447088"/>
  </r>
  <r>
    <x v="2"/>
    <d v="2022-04-05T00:00:00"/>
    <d v="2022-04-25T00:00:00"/>
    <x v="13"/>
    <n v="9"/>
    <n v="18"/>
    <n v="20.982460991879897"/>
    <n v="10.792264234856615"/>
    <n v="194.26075622741908"/>
    <n v="377.68429785383813"/>
    <n v="-183.42354162641905"/>
    <n v="-10.016227301069954"/>
    <n v="-193.43976892748901"/>
    <n v="0"/>
    <n v="0"/>
    <n v="0"/>
    <n v="-193.43976892748901"/>
  </r>
  <r>
    <x v="3"/>
    <d v="2022-05-04T00:00:00"/>
    <d v="2022-05-24T00:00:00"/>
    <x v="13"/>
    <n v="9"/>
    <n v="21"/>
    <n v="20.982460991879897"/>
    <n v="10.792264234856615"/>
    <n v="226.63754893198893"/>
    <n v="440.63168082947783"/>
    <n v="-213.9941318974889"/>
    <n v="-11.685598517914945"/>
    <n v="-225.67973041540384"/>
    <n v="0"/>
    <n v="0"/>
    <n v="0"/>
    <n v="-225.67973041540384"/>
  </r>
  <r>
    <x v="4"/>
    <d v="2022-06-03T00:00:00"/>
    <d v="2022-06-23T00:00:00"/>
    <x v="13"/>
    <n v="9"/>
    <n v="31"/>
    <n v="20.982460991879897"/>
    <n v="10.792264234856615"/>
    <n v="334.5601912805551"/>
    <n v="650.45629074827684"/>
    <n v="-315.89609946772174"/>
    <n v="-17.250169240731587"/>
    <n v="-333.14626870845331"/>
    <n v="0"/>
    <n v="0"/>
    <n v="0"/>
    <n v="-333.14626870845331"/>
  </r>
  <r>
    <x v="5"/>
    <d v="2022-07-05T00:00:00"/>
    <d v="2022-07-25T00:00:00"/>
    <x v="13"/>
    <n v="9"/>
    <n v="38"/>
    <n v="20.982460991879897"/>
    <n v="10.792264234856615"/>
    <n v="410.10604092455139"/>
    <n v="797.3335176914361"/>
    <n v="-387.22747676688471"/>
    <n v="-21.145368746703237"/>
    <n v="-408.37284551358795"/>
    <n v="0"/>
    <n v="0"/>
    <n v="0"/>
    <n v="-408.37284551358795"/>
  </r>
  <r>
    <x v="6"/>
    <d v="2022-08-03T00:00:00"/>
    <d v="2022-08-23T00:00:00"/>
    <x v="13"/>
    <n v="9"/>
    <n v="40"/>
    <n v="20.982460991879897"/>
    <n v="10.792264234856615"/>
    <n v="431.69056939426463"/>
    <n v="839.29843967519582"/>
    <n v="-407.60787028093119"/>
    <n v="-22.258282891266564"/>
    <n v="-429.86615317219776"/>
    <n v="0"/>
    <n v="0"/>
    <n v="0"/>
    <n v="-429.86615317219776"/>
  </r>
  <r>
    <x v="7"/>
    <d v="2022-09-05T00:00:00"/>
    <d v="2022-09-23T00:00:00"/>
    <x v="13"/>
    <n v="9"/>
    <n v="38"/>
    <n v="20.982460991879897"/>
    <n v="10.792264234856615"/>
    <n v="410.10604092455139"/>
    <n v="797.3335176914361"/>
    <n v="-387.22747676688471"/>
    <n v="-21.145368746703237"/>
    <n v="-408.37284551358795"/>
    <n v="0"/>
    <n v="0"/>
    <n v="0"/>
    <n v="-408.37284551358795"/>
  </r>
  <r>
    <x v="8"/>
    <d v="2022-10-05T00:00:00"/>
    <d v="2022-10-25T00:00:00"/>
    <x v="13"/>
    <n v="9"/>
    <n v="35"/>
    <n v="20.982460991879897"/>
    <n v="10.792264234856615"/>
    <n v="377.72924821998151"/>
    <n v="734.3861347157964"/>
    <n v="-356.65688649581489"/>
    <n v="-19.475997529858244"/>
    <n v="-376.13288402567315"/>
    <n v="0"/>
    <n v="0"/>
    <n v="0"/>
    <n v="-376.13288402567315"/>
  </r>
  <r>
    <x v="9"/>
    <d v="2022-11-03T00:00:00"/>
    <d v="2022-11-23T00:00:00"/>
    <x v="13"/>
    <n v="9"/>
    <n v="23"/>
    <n v="20.982460991879897"/>
    <n v="10.792264234856615"/>
    <n v="248.22207740170217"/>
    <n v="482.59660281323761"/>
    <n v="-234.37452541153544"/>
    <n v="-12.798512662478274"/>
    <n v="-247.17303807401373"/>
    <n v="0"/>
    <n v="0"/>
    <n v="0"/>
    <n v="-247.17303807401373"/>
  </r>
  <r>
    <x v="10"/>
    <d v="2022-12-05T00:00:00"/>
    <d v="2022-12-23T00:00:00"/>
    <x v="13"/>
    <n v="9"/>
    <n v="18"/>
    <n v="20.982460991879897"/>
    <n v="10.792264234856615"/>
    <n v="194.26075622741908"/>
    <n v="377.68429785383813"/>
    <n v="-183.42354162641905"/>
    <n v="-10.016227301069954"/>
    <n v="-193.43976892748901"/>
    <n v="0"/>
    <n v="0"/>
    <n v="0"/>
    <n v="-193.43976892748901"/>
  </r>
  <r>
    <x v="11"/>
    <d v="2023-01-04T00:00:00"/>
    <d v="2023-01-24T00:00:00"/>
    <x v="13"/>
    <n v="9"/>
    <n v="27"/>
    <n v="20.982460991879897"/>
    <n v="10.792264234856615"/>
    <n v="291.39113434112863"/>
    <n v="566.52644678075717"/>
    <n v="-275.13531243962854"/>
    <n v="-15.02434095160493"/>
    <n v="-290.15965339123346"/>
    <n v="0"/>
    <n v="0"/>
    <n v="0"/>
    <n v="-290.15965339123346"/>
  </r>
  <r>
    <x v="0"/>
    <d v="2022-02-03T00:00:00"/>
    <d v="2022-02-23T00:00:00"/>
    <x v="14"/>
    <n v="9"/>
    <n v="37"/>
    <n v="20.982460991879897"/>
    <n v="10.792264234856615"/>
    <n v="399.31377668969475"/>
    <n v="776.35105669955624"/>
    <n v="-377.03728000986149"/>
    <n v="-20.588911674421571"/>
    <n v="-397.62619168428307"/>
    <n v="0"/>
    <n v="0"/>
    <n v="0"/>
    <n v="-397.62619168428307"/>
  </r>
  <r>
    <x v="1"/>
    <d v="2022-03-03T00:00:00"/>
    <d v="2022-03-22T00:00:00"/>
    <x v="14"/>
    <n v="9"/>
    <n v="37"/>
    <n v="20.982460991879897"/>
    <n v="10.792264234856615"/>
    <n v="399.31377668969475"/>
    <n v="776.35105669955624"/>
    <n v="-377.03728000986149"/>
    <n v="-20.588911674421571"/>
    <n v="-397.62619168428307"/>
    <n v="0"/>
    <n v="0"/>
    <n v="0"/>
    <n v="-397.62619168428307"/>
  </r>
  <r>
    <x v="2"/>
    <d v="2022-04-05T00:00:00"/>
    <d v="2022-04-25T00:00:00"/>
    <x v="14"/>
    <n v="9"/>
    <n v="25"/>
    <n v="20.982460991879897"/>
    <n v="10.792264234856615"/>
    <n v="269.8066058714154"/>
    <n v="524.56152479699745"/>
    <n v="-254.75491892558205"/>
    <n v="-13.911426807041602"/>
    <n v="-268.66634573262365"/>
    <n v="0"/>
    <n v="0"/>
    <n v="0"/>
    <n v="-268.66634573262365"/>
  </r>
  <r>
    <x v="3"/>
    <d v="2022-05-04T00:00:00"/>
    <d v="2022-05-24T00:00:00"/>
    <x v="14"/>
    <n v="9"/>
    <n v="31"/>
    <n v="20.982460991879897"/>
    <n v="10.792264234856615"/>
    <n v="334.5601912805551"/>
    <n v="650.45629074827684"/>
    <n v="-315.89609946772174"/>
    <n v="-17.250169240731587"/>
    <n v="-333.14626870845331"/>
    <n v="0"/>
    <n v="0"/>
    <n v="0"/>
    <n v="-333.14626870845331"/>
  </r>
  <r>
    <x v="4"/>
    <d v="2022-06-03T00:00:00"/>
    <d v="2022-06-23T00:00:00"/>
    <x v="14"/>
    <n v="9"/>
    <n v="40"/>
    <n v="20.982460991879897"/>
    <n v="10.792264234856615"/>
    <n v="431.69056939426463"/>
    <n v="839.29843967519582"/>
    <n v="-407.60787028093119"/>
    <n v="-22.258282891266564"/>
    <n v="-429.86615317219776"/>
    <n v="0"/>
    <n v="0"/>
    <n v="0"/>
    <n v="-429.86615317219776"/>
  </r>
  <r>
    <x v="5"/>
    <d v="2022-07-05T00:00:00"/>
    <d v="2022-07-25T00:00:00"/>
    <x v="14"/>
    <n v="9"/>
    <n v="48"/>
    <n v="20.982460991879897"/>
    <n v="10.792264234856615"/>
    <n v="518.02868327311751"/>
    <n v="1007.1581276102351"/>
    <n v="-489.12944433711755"/>
    <n v="-26.709939469519874"/>
    <n v="-515.83938380663744"/>
    <n v="0"/>
    <n v="0"/>
    <n v="0"/>
    <n v="-515.83938380663744"/>
  </r>
  <r>
    <x v="6"/>
    <d v="2022-08-03T00:00:00"/>
    <d v="2022-08-23T00:00:00"/>
    <x v="14"/>
    <n v="9"/>
    <n v="52"/>
    <n v="20.982460991879897"/>
    <n v="10.792264234856615"/>
    <n v="561.19774021254398"/>
    <n v="1091.0879715777546"/>
    <n v="-529.89023136521064"/>
    <n v="-28.935767758646531"/>
    <n v="-558.82599912385717"/>
    <n v="0"/>
    <n v="0"/>
    <n v="0"/>
    <n v="-558.82599912385717"/>
  </r>
  <r>
    <x v="7"/>
    <d v="2022-09-05T00:00:00"/>
    <d v="2022-09-23T00:00:00"/>
    <x v="14"/>
    <n v="9"/>
    <n v="50"/>
    <n v="20.982460991879897"/>
    <n v="10.792264234856615"/>
    <n v="539.6132117428308"/>
    <n v="1049.1230495939949"/>
    <n v="-509.50983785116409"/>
    <n v="-27.822853614083204"/>
    <n v="-537.33269146524731"/>
    <n v="0"/>
    <n v="0"/>
    <n v="0"/>
    <n v="-537.33269146524731"/>
  </r>
  <r>
    <x v="8"/>
    <d v="2022-10-05T00:00:00"/>
    <d v="2022-10-25T00:00:00"/>
    <x v="14"/>
    <n v="9"/>
    <n v="47"/>
    <n v="20.982460991879897"/>
    <n v="10.792264234856615"/>
    <n v="507.23641903826092"/>
    <n v="986.17566661835519"/>
    <n v="-478.93924758009427"/>
    <n v="-26.153482397238214"/>
    <n v="-505.09272997733251"/>
    <n v="0"/>
    <n v="0"/>
    <n v="0"/>
    <n v="-505.09272997733251"/>
  </r>
  <r>
    <x v="9"/>
    <d v="2022-11-03T00:00:00"/>
    <d v="2022-11-23T00:00:00"/>
    <x v="14"/>
    <n v="9"/>
    <n v="35"/>
    <n v="20.982460991879897"/>
    <n v="10.792264234856615"/>
    <n v="377.72924821998151"/>
    <n v="734.3861347157964"/>
    <n v="-356.65688649581489"/>
    <n v="-19.475997529858244"/>
    <n v="-376.13288402567315"/>
    <n v="0"/>
    <n v="0"/>
    <n v="0"/>
    <n v="-376.13288402567315"/>
  </r>
  <r>
    <x v="10"/>
    <d v="2022-12-05T00:00:00"/>
    <d v="2022-12-23T00:00:00"/>
    <x v="14"/>
    <n v="9"/>
    <n v="34"/>
    <n v="20.982460991879897"/>
    <n v="10.792264234856615"/>
    <n v="366.93698398512493"/>
    <n v="713.40367372391654"/>
    <n v="-346.46668973879162"/>
    <n v="-18.919540457576581"/>
    <n v="-365.38623019636822"/>
    <n v="0"/>
    <n v="0"/>
    <n v="0"/>
    <n v="-365.38623019636822"/>
  </r>
  <r>
    <x v="11"/>
    <d v="2023-01-04T00:00:00"/>
    <d v="2023-01-24T00:00:00"/>
    <x v="14"/>
    <n v="9"/>
    <n v="34"/>
    <n v="20.982460991879897"/>
    <n v="10.792264234856615"/>
    <n v="366.93698398512493"/>
    <n v="713.40367372391654"/>
    <n v="-346.46668973879162"/>
    <n v="-18.919540457576581"/>
    <n v="-365.38623019636822"/>
    <n v="0"/>
    <n v="0"/>
    <n v="0"/>
    <n v="-365.38623019636822"/>
  </r>
  <r>
    <x v="0"/>
    <d v="2022-02-03T00:00:00"/>
    <d v="2022-02-23T00:00:00"/>
    <x v="15"/>
    <n v="9"/>
    <n v="106"/>
    <n v="20.982460991879897"/>
    <n v="10.792264234856615"/>
    <n v="1143.9800088948011"/>
    <n v="2224.140865139269"/>
    <n v="-1080.1608562444678"/>
    <n v="-58.984449661856395"/>
    <n v="-1139.1453059063242"/>
    <n v="0"/>
    <n v="0"/>
    <n v="0"/>
    <n v="-1139.1453059063242"/>
  </r>
  <r>
    <x v="1"/>
    <d v="2022-03-03T00:00:00"/>
    <d v="2022-03-22T00:00:00"/>
    <x v="15"/>
    <n v="9"/>
    <n v="101"/>
    <n v="20.982460991879897"/>
    <n v="10.792264234856615"/>
    <n v="1090.0186877205181"/>
    <n v="2119.2285601798694"/>
    <n v="-1029.2098724593513"/>
    <n v="-56.202164300448075"/>
    <n v="-1085.4120367597993"/>
    <n v="0"/>
    <n v="0"/>
    <n v="0"/>
    <n v="-1085.4120367597993"/>
  </r>
  <r>
    <x v="2"/>
    <d v="2022-04-05T00:00:00"/>
    <d v="2022-04-25T00:00:00"/>
    <x v="15"/>
    <n v="9"/>
    <n v="97"/>
    <n v="20.982460991879897"/>
    <n v="10.792264234856615"/>
    <n v="1046.8496307810917"/>
    <n v="2035.29871621235"/>
    <n v="-988.44908543125825"/>
    <n v="-53.976336011321415"/>
    <n v="-1042.4254214425796"/>
    <n v="0"/>
    <n v="0"/>
    <n v="0"/>
    <n v="-1042.4254214425796"/>
  </r>
  <r>
    <x v="3"/>
    <d v="2022-05-04T00:00:00"/>
    <d v="2022-05-24T00:00:00"/>
    <x v="15"/>
    <n v="9"/>
    <n v="98"/>
    <n v="20.982460991879897"/>
    <n v="10.792264234856615"/>
    <n v="1057.6418950159482"/>
    <n v="2056.2811772042301"/>
    <n v="-998.63928218828187"/>
    <n v="-54.532793083603082"/>
    <n v="-1053.172075271885"/>
    <n v="0"/>
    <n v="0"/>
    <n v="0"/>
    <n v="-1053.172075271885"/>
  </r>
  <r>
    <x v="4"/>
    <d v="2022-06-03T00:00:00"/>
    <d v="2022-06-23T00:00:00"/>
    <x v="15"/>
    <n v="9"/>
    <n v="104"/>
    <n v="20.982460991879897"/>
    <n v="10.792264234856615"/>
    <n v="1122.395480425088"/>
    <n v="2182.1759431555092"/>
    <n v="-1059.7804627304213"/>
    <n v="-57.871535517293061"/>
    <n v="-1117.6519982477143"/>
    <n v="0"/>
    <n v="0"/>
    <n v="0"/>
    <n v="-1117.6519982477143"/>
  </r>
  <r>
    <x v="5"/>
    <d v="2022-07-05T00:00:00"/>
    <d v="2022-07-25T00:00:00"/>
    <x v="15"/>
    <n v="9"/>
    <n v="115"/>
    <n v="20.982460991879897"/>
    <n v="10.792264234856615"/>
    <n v="1241.1103870085108"/>
    <n v="2412.9830140661879"/>
    <n v="-1171.8726270576772"/>
    <n v="-63.992563312391376"/>
    <n v="-1235.8651903700686"/>
    <n v="0"/>
    <n v="0"/>
    <n v="0"/>
    <n v="-1235.8651903700686"/>
  </r>
  <r>
    <x v="6"/>
    <d v="2022-08-03T00:00:00"/>
    <d v="2022-08-23T00:00:00"/>
    <x v="15"/>
    <n v="9"/>
    <n v="42"/>
    <n v="20.982460991879897"/>
    <n v="10.792264234856615"/>
    <n v="453.27509786397786"/>
    <n v="881.26336165895566"/>
    <n v="-427.9882637949778"/>
    <n v="-23.371197035829891"/>
    <n v="-451.35946083080768"/>
    <n v="0"/>
    <n v="0"/>
    <n v="0"/>
    <n v="-451.35946083080768"/>
  </r>
  <r>
    <x v="7"/>
    <d v="2022-09-05T00:00:00"/>
    <d v="2022-09-23T00:00:00"/>
    <x v="15"/>
    <n v="9"/>
    <n v="41"/>
    <n v="20.982460991879897"/>
    <n v="10.792264234856615"/>
    <n v="442.48283362912122"/>
    <n v="860.2809006670758"/>
    <n v="-417.79806703795458"/>
    <n v="-22.814739963548227"/>
    <n v="-440.6128070015028"/>
    <n v="0"/>
    <n v="0"/>
    <n v="0"/>
    <n v="-440.6128070015028"/>
  </r>
  <r>
    <x v="8"/>
    <d v="2022-10-05T00:00:00"/>
    <d v="2022-10-25T00:00:00"/>
    <x v="15"/>
    <n v="9"/>
    <n v="115"/>
    <n v="20.982460991879897"/>
    <n v="10.792264234856615"/>
    <n v="1241.1103870085108"/>
    <n v="2412.9830140661879"/>
    <n v="-1171.8726270576772"/>
    <n v="-63.992563312391376"/>
    <n v="-1235.8651903700686"/>
    <n v="0"/>
    <n v="0"/>
    <n v="0"/>
    <n v="-1235.8651903700686"/>
  </r>
  <r>
    <x v="9"/>
    <d v="2022-11-03T00:00:00"/>
    <d v="2022-11-23T00:00:00"/>
    <x v="15"/>
    <n v="9"/>
    <n v="105"/>
    <n v="20.982460991879897"/>
    <n v="10.792264234856615"/>
    <n v="1133.1877446599447"/>
    <n v="2203.1584041473893"/>
    <n v="-1069.9706594874447"/>
    <n v="-58.427992589574735"/>
    <n v="-1128.3986520770195"/>
    <n v="0"/>
    <n v="0"/>
    <n v="0"/>
    <n v="-1128.3986520770195"/>
  </r>
  <r>
    <x v="10"/>
    <d v="2022-12-05T00:00:00"/>
    <d v="2022-12-23T00:00:00"/>
    <x v="15"/>
    <n v="9"/>
    <n v="104"/>
    <n v="20.982460991879897"/>
    <n v="10.792264234856615"/>
    <n v="1122.395480425088"/>
    <n v="2182.1759431555092"/>
    <n v="-1059.7804627304213"/>
    <n v="-57.871535517293061"/>
    <n v="-1117.6519982477143"/>
    <n v="0"/>
    <n v="0"/>
    <n v="0"/>
    <n v="-1117.6519982477143"/>
  </r>
  <r>
    <x v="11"/>
    <d v="2023-01-04T00:00:00"/>
    <d v="2023-01-24T00:00:00"/>
    <x v="15"/>
    <n v="9"/>
    <n v="104"/>
    <n v="20.982460991879897"/>
    <n v="10.792264234856615"/>
    <n v="1122.395480425088"/>
    <n v="2182.1759431555092"/>
    <n v="-1059.7804627304213"/>
    <n v="-57.871535517293061"/>
    <n v="-1117.6519982477143"/>
    <n v="0"/>
    <n v="0"/>
    <n v="0"/>
    <n v="-1117.65199824771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57">
        <item m="1" x="57"/>
        <item m="1" x="81"/>
        <item m="1" x="105"/>
        <item m="1" x="129"/>
        <item m="1" x="153"/>
        <item m="1" x="33"/>
        <item m="1" x="68"/>
        <item m="1" x="92"/>
        <item m="1" x="116"/>
        <item m="1" x="140"/>
        <item m="1" x="20"/>
        <item m="1" x="44"/>
        <item m="1" x="58"/>
        <item m="1" x="82"/>
        <item m="1" x="106"/>
        <item m="1" x="130"/>
        <item m="1" x="154"/>
        <item m="1" x="34"/>
        <item m="1" x="70"/>
        <item m="1" x="94"/>
        <item m="1" x="118"/>
        <item m="1" x="142"/>
        <item m="1" x="22"/>
        <item m="1" x="46"/>
        <item m="1" x="59"/>
        <item m="1" x="83"/>
        <item m="1" x="107"/>
        <item m="1" x="131"/>
        <item m="1" x="155"/>
        <item m="1" x="35"/>
        <item m="1" x="71"/>
        <item m="1" x="95"/>
        <item m="1" x="119"/>
        <item m="1" x="143"/>
        <item m="1" x="23"/>
        <item m="1" x="47"/>
        <item m="1" x="60"/>
        <item m="1" x="84"/>
        <item m="1" x="108"/>
        <item m="1" x="132"/>
        <item m="1" x="12"/>
        <item m="1" x="36"/>
        <item m="1" x="72"/>
        <item m="1" x="96"/>
        <item m="1" x="120"/>
        <item m="1" x="144"/>
        <item m="1" x="24"/>
        <item m="1" x="48"/>
        <item m="1" x="61"/>
        <item m="1" x="85"/>
        <item m="1" x="109"/>
        <item m="1" x="133"/>
        <item m="1" x="13"/>
        <item m="1" x="37"/>
        <item m="1" x="73"/>
        <item m="1" x="97"/>
        <item m="1" x="121"/>
        <item m="1" x="145"/>
        <item m="1" x="25"/>
        <item m="1" x="49"/>
        <item m="1" x="62"/>
        <item m="1" x="86"/>
        <item m="1" x="110"/>
        <item m="1" x="134"/>
        <item m="1" x="14"/>
        <item m="1" x="38"/>
        <item m="1" x="74"/>
        <item m="1" x="98"/>
        <item m="1" x="122"/>
        <item m="1" x="146"/>
        <item m="1" x="26"/>
        <item m="1" x="50"/>
        <item m="1" x="63"/>
        <item m="1" x="87"/>
        <item m="1" x="111"/>
        <item m="1" x="135"/>
        <item m="1" x="15"/>
        <item m="1" x="39"/>
        <item m="1" x="75"/>
        <item m="1" x="99"/>
        <item m="1" x="123"/>
        <item m="1" x="147"/>
        <item m="1" x="27"/>
        <item m="1" x="51"/>
        <item m="1" x="64"/>
        <item m="1" x="88"/>
        <item m="1" x="112"/>
        <item m="1" x="136"/>
        <item m="1" x="16"/>
        <item m="1" x="40"/>
        <item m="1" x="76"/>
        <item m="1" x="100"/>
        <item m="1" x="124"/>
        <item m="1" x="148"/>
        <item m="1" x="28"/>
        <item m="1" x="52"/>
        <item m="1" x="65"/>
        <item m="1" x="89"/>
        <item m="1" x="113"/>
        <item m="1" x="137"/>
        <item m="1" x="17"/>
        <item m="1" x="41"/>
        <item m="1" x="77"/>
        <item m="1" x="101"/>
        <item m="1" x="125"/>
        <item m="1" x="149"/>
        <item m="1" x="29"/>
        <item m="1" x="53"/>
        <item m="1" x="66"/>
        <item m="1" x="90"/>
        <item m="1" x="114"/>
        <item m="1" x="138"/>
        <item m="1" x="18"/>
        <item m="1" x="42"/>
        <item m="1" x="78"/>
        <item m="1" x="102"/>
        <item m="1" x="126"/>
        <item m="1" x="150"/>
        <item m="1" x="30"/>
        <item m="1" x="54"/>
        <item m="1" x="67"/>
        <item m="1" x="91"/>
        <item m="1" x="115"/>
        <item m="1" x="139"/>
        <item m="1" x="19"/>
        <item m="1" x="43"/>
        <item m="1" x="79"/>
        <item m="1" x="103"/>
        <item m="1" x="127"/>
        <item m="1" x="151"/>
        <item m="1" x="31"/>
        <item m="1" x="55"/>
        <item m="1" x="69"/>
        <item m="1" x="93"/>
        <item m="1" x="117"/>
        <item m="1" x="141"/>
        <item m="1" x="21"/>
        <item m="1" x="45"/>
        <item m="1" x="80"/>
        <item m="1" x="104"/>
        <item m="1" x="128"/>
        <item m="1" x="152"/>
        <item m="1" x="32"/>
        <item m="1" x="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>
      <selection activeCell="H22" sqref="H22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62</v>
      </c>
    </row>
    <row r="3" spans="1:2" x14ac:dyDescent="0.2">
      <c r="A3" s="2">
        <v>1</v>
      </c>
      <c r="B3" s="3" t="s">
        <v>64</v>
      </c>
    </row>
    <row r="4" spans="1:2" x14ac:dyDescent="0.2">
      <c r="A4" s="2">
        <v>2</v>
      </c>
      <c r="B4" s="3" t="s">
        <v>63</v>
      </c>
    </row>
    <row r="5" spans="1:2" x14ac:dyDescent="0.2">
      <c r="A5" s="2">
        <v>3</v>
      </c>
      <c r="B5" s="3" t="s">
        <v>65</v>
      </c>
    </row>
    <row r="6" spans="1:2" x14ac:dyDescent="0.2">
      <c r="A6" s="2">
        <v>4</v>
      </c>
      <c r="B6" s="4" t="s">
        <v>79</v>
      </c>
    </row>
    <row r="7" spans="1:2" x14ac:dyDescent="0.2">
      <c r="A7" s="2">
        <v>5</v>
      </c>
      <c r="B7" s="3" t="s">
        <v>66</v>
      </c>
    </row>
    <row r="8" spans="1:2" x14ac:dyDescent="0.2">
      <c r="A8" s="2">
        <v>6</v>
      </c>
      <c r="B8" s="3" t="s">
        <v>67</v>
      </c>
    </row>
    <row r="9" spans="1:2" x14ac:dyDescent="0.2">
      <c r="A9" s="2">
        <v>7</v>
      </c>
      <c r="B9" s="5" t="s">
        <v>68</v>
      </c>
    </row>
    <row r="10" spans="1:2" x14ac:dyDescent="0.2">
      <c r="A10" s="2">
        <v>8</v>
      </c>
      <c r="B10" s="3" t="s">
        <v>71</v>
      </c>
    </row>
    <row r="11" spans="1:2" x14ac:dyDescent="0.2">
      <c r="A11" s="2"/>
      <c r="B11" s="3" t="s">
        <v>72</v>
      </c>
    </row>
    <row r="12" spans="1:2" x14ac:dyDescent="0.2">
      <c r="A12" s="2"/>
      <c r="B12" s="5" t="s">
        <v>73</v>
      </c>
    </row>
    <row r="13" spans="1:2" x14ac:dyDescent="0.2">
      <c r="A13" s="2"/>
      <c r="B13" s="5" t="s">
        <v>74</v>
      </c>
    </row>
    <row r="14" spans="1:2" x14ac:dyDescent="0.2">
      <c r="A14" s="2">
        <v>9</v>
      </c>
      <c r="B14" s="3" t="s">
        <v>75</v>
      </c>
    </row>
    <row r="15" spans="1:2" x14ac:dyDescent="0.2">
      <c r="A15" s="2">
        <v>10</v>
      </c>
      <c r="B15" s="3" t="s">
        <v>77</v>
      </c>
    </row>
    <row r="16" spans="1:2" x14ac:dyDescent="0.2">
      <c r="A16" s="2">
        <v>11</v>
      </c>
      <c r="B16" s="3" t="s">
        <v>78</v>
      </c>
    </row>
    <row r="17" spans="1:1" x14ac:dyDescent="0.2">
      <c r="A17" s="2"/>
    </row>
  </sheetData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0"/>
  <sheetViews>
    <sheetView topLeftCell="A7" zoomScale="85" zoomScaleNormal="85" zoomScaleSheetLayoutView="100" workbookViewId="0">
      <selection activeCell="K20" sqref="K20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49" t="str">
        <f>+Transactions!B1</f>
        <v>AEPTCo Formula Rate -- FERC Docket ER18-195</v>
      </c>
      <c r="D1" s="249"/>
      <c r="E1" s="249"/>
      <c r="F1" s="249"/>
      <c r="G1" s="249"/>
      <c r="H1" s="249"/>
      <c r="I1" s="249"/>
      <c r="L1" s="6">
        <v>2022</v>
      </c>
    </row>
    <row r="2" spans="2:19" x14ac:dyDescent="0.2">
      <c r="C2" s="249" t="s">
        <v>97</v>
      </c>
      <c r="D2" s="249"/>
      <c r="E2" s="249"/>
      <c r="F2" s="249"/>
      <c r="G2" s="249"/>
      <c r="H2" s="249"/>
      <c r="I2" s="249"/>
    </row>
    <row r="3" spans="2:19" x14ac:dyDescent="0.2">
      <c r="C3" s="249" t="str">
        <f>"for period 01/01/"&amp;F8&amp;" - 12/31/"&amp;F8</f>
        <v>for period 01/01/2022 - 12/31/2022</v>
      </c>
      <c r="D3" s="249"/>
      <c r="E3" s="249"/>
      <c r="F3" s="249"/>
      <c r="G3" s="249"/>
      <c r="H3" s="249"/>
      <c r="I3" s="249"/>
    </row>
    <row r="4" spans="2:19" x14ac:dyDescent="0.2">
      <c r="C4" s="249" t="s">
        <v>93</v>
      </c>
      <c r="D4" s="249"/>
      <c r="E4" s="249"/>
      <c r="F4" s="249"/>
      <c r="G4" s="249"/>
      <c r="H4" s="249"/>
      <c r="I4" s="249"/>
    </row>
    <row r="5" spans="2:19" x14ac:dyDescent="0.2">
      <c r="C5" s="7" t="str">
        <f>"Prepared:  May 24_, "&amp;L1+1&amp;""</f>
        <v>Prepared:  May 24_, 2023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v>2022</v>
      </c>
    </row>
    <row r="9" spans="2:19" ht="20.25" customHeight="1" x14ac:dyDescent="0.2">
      <c r="E9" s="12" t="s">
        <v>92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2022 Projections 2022)</v>
      </c>
      <c r="F10" s="18" t="str">
        <f>"(per "&amp;F8&amp;" Update of May "&amp;F8+1&amp;")"</f>
        <v>(per 2022 Update of May 2023)</v>
      </c>
      <c r="G10" s="19"/>
      <c r="H10" s="20"/>
    </row>
    <row r="11" spans="2:19" ht="21.75" customHeight="1" x14ac:dyDescent="0.2">
      <c r="B11" s="21"/>
      <c r="C11" s="22" t="s">
        <v>38</v>
      </c>
      <c r="D11" s="23" t="s">
        <v>36</v>
      </c>
      <c r="E11" s="24">
        <f>Transactions!K2</f>
        <v>2052840.0536015616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41</v>
      </c>
      <c r="E12" s="30"/>
      <c r="F12" s="31">
        <f>+Transactions!J2</f>
        <v>1129669.4665193814</v>
      </c>
      <c r="G12" s="32"/>
      <c r="H12" s="33"/>
      <c r="K12" s="34"/>
    </row>
    <row r="13" spans="2:19" ht="21.75" customHeight="1" x14ac:dyDescent="0.2">
      <c r="B13" s="35"/>
      <c r="C13" s="36" t="s">
        <v>39</v>
      </c>
      <c r="D13" s="37" t="s">
        <v>37</v>
      </c>
      <c r="E13" s="38">
        <f>Transactions!K3</f>
        <v>20.982460991879897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40</v>
      </c>
      <c r="E14" s="44"/>
      <c r="F14" s="45">
        <f>+Transactions!J3</f>
        <v>10.792264234856615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91</v>
      </c>
      <c r="I19" s="56" t="s">
        <v>90</v>
      </c>
      <c r="J19" s="57" t="s">
        <v>94</v>
      </c>
      <c r="K19" s="58" t="s">
        <v>95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49</v>
      </c>
      <c r="D20" s="60" t="str">
        <f>"Actual Charge
("&amp;F8&amp;" True-Up)"</f>
        <v>Actual Charge
(2022 True-Up)</v>
      </c>
      <c r="E20" s="61" t="str">
        <f>"Invoiced for
CY"&amp;F8&amp;" Transmission Service"</f>
        <v>Invoiced for
CY2022 Transmission Service</v>
      </c>
      <c r="F20" s="60" t="s">
        <v>100</v>
      </c>
      <c r="G20" s="62" t="s">
        <v>101</v>
      </c>
      <c r="H20" s="62" t="s">
        <v>102</v>
      </c>
      <c r="I20" s="60" t="s">
        <v>103</v>
      </c>
      <c r="J20" s="63" t="s">
        <v>104</v>
      </c>
      <c r="K20" s="64" t="s">
        <v>99</v>
      </c>
      <c r="N20" s="52"/>
      <c r="O20" s="53"/>
      <c r="P20" s="53"/>
      <c r="Q20" s="53"/>
      <c r="R20" s="53"/>
      <c r="S20" s="53"/>
    </row>
    <row r="21" spans="2:19" x14ac:dyDescent="0.2">
      <c r="B21" s="65"/>
      <c r="C21" s="66" t="s">
        <v>14</v>
      </c>
      <c r="D21" s="67">
        <f>GETPIVOTDATA("Sum of "&amp;T(Transactions!$J$19),Pivot!$A$3,"Customer",C21)</f>
        <v>107113.22253095191</v>
      </c>
      <c r="E21" s="67">
        <f>GETPIVOTDATA("Sum of "&amp;T(Transactions!$K$19),Pivot!$A$3,"Customer",C21)</f>
        <v>208250.92534440797</v>
      </c>
      <c r="F21" s="67">
        <f>D21-E21</f>
        <v>-101137.70281345605</v>
      </c>
      <c r="G21" s="53">
        <f>+GETPIVOTDATA("Sum of "&amp;T(Transactions!$M$19),Pivot!$A$3,"Customer","AECC")</f>
        <v>-5522.8364423955163</v>
      </c>
      <c r="H21" s="53">
        <f>GETPIVOTDATA("Sum of "&amp;T(Transactions!$Q$19),Pivot!$A$3,"Customer","AECC")</f>
        <v>0</v>
      </c>
      <c r="I21" s="68">
        <f>F21+G21-H21</f>
        <v>-106660.53925585157</v>
      </c>
      <c r="J21" s="69">
        <v>0</v>
      </c>
      <c r="K21" s="70">
        <f>I21+J21</f>
        <v>-106660.53925585157</v>
      </c>
      <c r="L21" s="65"/>
      <c r="N21" s="52"/>
      <c r="O21" s="53"/>
      <c r="P21" s="53"/>
      <c r="Q21" s="53"/>
      <c r="R21" s="53"/>
      <c r="S21" s="53"/>
    </row>
    <row r="22" spans="2:19" x14ac:dyDescent="0.2">
      <c r="B22" s="65"/>
      <c r="C22" s="71" t="s">
        <v>82</v>
      </c>
      <c r="D22" s="67">
        <f>GETPIVOTDATA("Sum of "&amp;T(Transactions!$J$19),Pivot!$A$3,"Customer",C22)</f>
        <v>5881.7840079968555</v>
      </c>
      <c r="E22" s="67">
        <f>GETPIVOTDATA("Sum of "&amp;T(Transactions!$K$19),Pivot!$A$3,"Customer",C22)</f>
        <v>11435.441240574546</v>
      </c>
      <c r="F22" s="67">
        <f>D22-E22</f>
        <v>-5553.6572325776906</v>
      </c>
      <c r="G22" s="53">
        <f>+GETPIVOTDATA("Sum of "&amp;T(Transactions!$M$19),Pivot!$A$3,"Customer","AECI")</f>
        <v>-303.26910439350695</v>
      </c>
      <c r="H22" s="53">
        <f>GETPIVOTDATA("Sum of "&amp;T(Transactions!$Q$19),Pivot!$A$3,"Customer",C22)</f>
        <v>0</v>
      </c>
      <c r="I22" s="68">
        <f t="shared" ref="I22:I33" si="0">F22+G22-H22</f>
        <v>-5856.9263369711971</v>
      </c>
      <c r="J22" s="69">
        <v>0</v>
      </c>
      <c r="K22" s="70">
        <f t="shared" ref="K22:K39" si="1">I22+J22</f>
        <v>-5856.9263369711971</v>
      </c>
      <c r="L22" s="65"/>
      <c r="N22" s="52"/>
      <c r="O22" s="53"/>
      <c r="P22" s="53"/>
      <c r="Q22" s="53"/>
      <c r="R22" s="53"/>
      <c r="S22" s="53"/>
    </row>
    <row r="23" spans="2:19" x14ac:dyDescent="0.2">
      <c r="B23" s="65"/>
      <c r="C23" s="71" t="s">
        <v>53</v>
      </c>
      <c r="D23" s="67">
        <f>GETPIVOTDATA("Sum of "&amp;T(Transactions!$J$19),Pivot!$A$3,"Customer",C23)</f>
        <v>16674.048242853471</v>
      </c>
      <c r="E23" s="67">
        <f>GETPIVOTDATA("Sum of "&amp;T(Transactions!$K$19),Pivot!$A$3,"Customer",C23)</f>
        <v>32417.902232454442</v>
      </c>
      <c r="F23" s="67">
        <f t="shared" ref="F23:F35" si="2">D23-E23</f>
        <v>-15743.853989600972</v>
      </c>
      <c r="G23" s="53">
        <f>+GETPIVOTDATA("Sum of "&amp;T(Transactions!$M$19),Pivot!$A$3,"Customer","Bentonville, AR")</f>
        <v>-859.72617667517102</v>
      </c>
      <c r="H23" s="53">
        <f>GETPIVOTDATA("Sum of "&amp;T(Transactions!$Q$19),Pivot!$A$3,"Customer",C23)</f>
        <v>0</v>
      </c>
      <c r="I23" s="68">
        <f t="shared" si="0"/>
        <v>-16603.580166276144</v>
      </c>
      <c r="J23" s="69">
        <v>0</v>
      </c>
      <c r="K23" s="70">
        <f t="shared" si="1"/>
        <v>-16603.580166276144</v>
      </c>
      <c r="L23" s="65"/>
      <c r="N23" s="52"/>
      <c r="O23" s="53"/>
      <c r="P23" s="53"/>
      <c r="Q23" s="53"/>
      <c r="R23" s="53"/>
      <c r="S23" s="53"/>
    </row>
    <row r="24" spans="2:19" x14ac:dyDescent="0.2">
      <c r="B24" s="65"/>
      <c r="C24" s="66" t="s">
        <v>17</v>
      </c>
      <c r="D24" s="67">
        <f>GETPIVOTDATA("Sum of "&amp;T(Transactions!$J$19),Pivot!$A$3,"Customer",C24)</f>
        <v>12216.843113857689</v>
      </c>
      <c r="E24" s="67">
        <f>GETPIVOTDATA("Sum of "&amp;T(Transactions!$K$19),Pivot!$A$3,"Customer",C24)</f>
        <v>23752.145842808044</v>
      </c>
      <c r="F24" s="67">
        <f t="shared" si="2"/>
        <v>-11535.302728950355</v>
      </c>
      <c r="G24" s="53">
        <f>+GETPIVOTDATA("Sum of "&amp;T(Transactions!$M$19),Pivot!$A$3,"Customer","Coffeyville, KS")</f>
        <v>-629.90940582284384</v>
      </c>
      <c r="H24" s="53">
        <f>GETPIVOTDATA("Sum of "&amp;T(Transactions!$Q$19),Pivot!$A$3,"Customer",C24)</f>
        <v>0</v>
      </c>
      <c r="I24" s="68">
        <f t="shared" si="0"/>
        <v>-12165.212134773199</v>
      </c>
      <c r="J24" s="69">
        <v>0</v>
      </c>
      <c r="K24" s="70">
        <f t="shared" si="1"/>
        <v>-12165.212134773199</v>
      </c>
      <c r="L24" s="65"/>
      <c r="N24" s="52"/>
      <c r="O24" s="53"/>
      <c r="P24" s="53"/>
      <c r="Q24" s="53"/>
      <c r="R24" s="53"/>
      <c r="S24" s="53"/>
    </row>
    <row r="25" spans="2:19" x14ac:dyDescent="0.2">
      <c r="B25" s="65"/>
      <c r="C25" s="71" t="s">
        <v>13</v>
      </c>
      <c r="D25" s="67">
        <f>GETPIVOTDATA("Sum of "&amp;T(Transactions!$J$19),Pivot!$A$3,"Customer",C25)</f>
        <v>118973.92092505931</v>
      </c>
      <c r="E25" s="67">
        <f>GETPIVOTDATA("Sum of "&amp;T(Transactions!$K$19),Pivot!$A$3,"Customer",C25)</f>
        <v>231310.64997448394</v>
      </c>
      <c r="F25" s="67">
        <f t="shared" si="2"/>
        <v>-112336.72904942463</v>
      </c>
      <c r="G25" s="53">
        <f>+GETPIVOTDATA("Sum of "&amp;T(Transactions!$M$19),Pivot!$A$3,"Customer","ETEC")</f>
        <v>-6134.3827648330644</v>
      </c>
      <c r="H25" s="53">
        <f>GETPIVOTDATA("Sum of "&amp;T(Transactions!$Q$19),Pivot!$A$3,"Customer",C25)</f>
        <v>0</v>
      </c>
      <c r="I25" s="68">
        <f t="shared" si="0"/>
        <v>-118471.11181425769</v>
      </c>
      <c r="J25" s="69">
        <v>0</v>
      </c>
      <c r="K25" s="70">
        <f t="shared" si="1"/>
        <v>-118471.11181425769</v>
      </c>
      <c r="L25" s="65"/>
      <c r="N25" s="54"/>
      <c r="O25" s="53"/>
      <c r="P25" s="53"/>
      <c r="Q25" s="53"/>
      <c r="R25" s="53"/>
      <c r="S25" s="53"/>
    </row>
    <row r="26" spans="2:19" x14ac:dyDescent="0.2">
      <c r="B26" s="65"/>
      <c r="C26" s="66" t="s">
        <v>15</v>
      </c>
      <c r="D26" s="67">
        <f>GETPIVOTDATA("Sum of "&amp;T(Transactions!$J$19),Pivot!$A$3,"Customer",C26)</f>
        <v>1230.3181227736543</v>
      </c>
      <c r="E26" s="67">
        <f>GETPIVOTDATA("Sum of "&amp;T(Transactions!$K$19),Pivot!$A$3,"Customer",C26)</f>
        <v>2392.0005530743078</v>
      </c>
      <c r="F26" s="67">
        <f t="shared" si="2"/>
        <v>-1161.6824303006536</v>
      </c>
      <c r="G26" s="53">
        <f>+GETPIVOTDATA("Sum of "&amp;T(Transactions!$M$19),Pivot!$A$3,"Customer","Greenbelt")</f>
        <v>-63.436106240109716</v>
      </c>
      <c r="H26" s="53">
        <f>GETPIVOTDATA("Sum of "&amp;T(Transactions!$Q$19),Pivot!$A$3,"Customer",C26)</f>
        <v>0</v>
      </c>
      <c r="I26" s="68">
        <f t="shared" si="0"/>
        <v>-1225.1185365407632</v>
      </c>
      <c r="J26" s="69">
        <v>0</v>
      </c>
      <c r="K26" s="70">
        <f t="shared" si="1"/>
        <v>-1225.1185365407632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">
      <c r="B27" s="65"/>
      <c r="C27" s="66" t="s">
        <v>56</v>
      </c>
      <c r="D27" s="67">
        <f>GETPIVOTDATA("Sum of "&amp;T(Transactions!$J$19),Pivot!$A$3,"Customer",C27)</f>
        <v>5072.3641903826092</v>
      </c>
      <c r="E27" s="67">
        <f>GETPIVOTDATA("Sum of "&amp;T(Transactions!$K$19),Pivot!$A$3,"Customer",C27)</f>
        <v>9861.7566661835517</v>
      </c>
      <c r="F27" s="67">
        <f t="shared" si="2"/>
        <v>-4789.3924758009425</v>
      </c>
      <c r="G27" s="53">
        <f>+GETPIVOTDATA("Sum of "&amp;T(Transactions!$M$19),Pivot!$A$3,"Customer","Hope, AR")</f>
        <v>-261.53482397238213</v>
      </c>
      <c r="H27" s="53">
        <f>GETPIVOTDATA("Sum of "&amp;T(Transactions!$Q$19),Pivot!$A$3,"Customer",C27)</f>
        <v>0</v>
      </c>
      <c r="I27" s="68">
        <f t="shared" si="0"/>
        <v>-5050.9272997733242</v>
      </c>
      <c r="J27" s="69">
        <v>0</v>
      </c>
      <c r="K27" s="70">
        <f t="shared" si="1"/>
        <v>-5050.9272997733242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">
      <c r="B28" s="65"/>
      <c r="C28" s="66" t="s">
        <v>16</v>
      </c>
      <c r="D28" s="67">
        <f>GETPIVOTDATA("Sum of "&amp;T(Transactions!$J$19),Pivot!$A$3,"Customer",C28)</f>
        <v>431.69056939426457</v>
      </c>
      <c r="E28" s="67">
        <f>GETPIVOTDATA("Sum of "&amp;T(Transactions!$K$19),Pivot!$A$3,"Customer",C28)</f>
        <v>839.29843967519582</v>
      </c>
      <c r="F28" s="67">
        <f t="shared" si="2"/>
        <v>-407.60787028093125</v>
      </c>
      <c r="G28" s="53">
        <f>+GETPIVOTDATA("Sum of "&amp;T(Transactions!$M$19),Pivot!$A$3,"Customer","Lighthouse")</f>
        <v>-22.25828289126656</v>
      </c>
      <c r="H28" s="53">
        <f>GETPIVOTDATA("Sum of "&amp;T(Transactions!$Q$19),Pivot!$A$3,"Customer",C28)</f>
        <v>0</v>
      </c>
      <c r="I28" s="68">
        <f t="shared" si="0"/>
        <v>-429.86615317219781</v>
      </c>
      <c r="J28" s="69">
        <v>0</v>
      </c>
      <c r="K28" s="70">
        <f t="shared" si="1"/>
        <v>-429.86615317219781</v>
      </c>
      <c r="L28" s="65"/>
      <c r="N28" s="52"/>
      <c r="O28" s="53"/>
      <c r="P28" s="53"/>
      <c r="Q28" s="53"/>
      <c r="R28" s="53"/>
      <c r="S28" s="53"/>
    </row>
    <row r="29" spans="2:19" x14ac:dyDescent="0.2">
      <c r="B29" s="65"/>
      <c r="C29" s="71" t="s">
        <v>55</v>
      </c>
      <c r="D29" s="67">
        <f>GETPIVOTDATA("Sum of "&amp;T(Transactions!$J$19),Pivot!$A$3,"Customer",C29)</f>
        <v>3593.8239902072532</v>
      </c>
      <c r="E29" s="67">
        <f>GETPIVOTDATA("Sum of "&amp;T(Transactions!$K$19),Pivot!$A$3,"Customer",C29)</f>
        <v>6987.1595102960055</v>
      </c>
      <c r="F29" s="67">
        <f t="shared" si="2"/>
        <v>-3393.3355200887522</v>
      </c>
      <c r="G29" s="53">
        <f>+GETPIVOTDATA("Sum of "&amp;T(Transactions!$M$19),Pivot!$A$3,"Customer","Minden, LA")</f>
        <v>-185.30020506979415</v>
      </c>
      <c r="H29" s="53">
        <f>GETPIVOTDATA("Sum of "&amp;T(Transactions!$Q$19),Pivot!$A$3,"Customer",C29)</f>
        <v>0</v>
      </c>
      <c r="I29" s="68">
        <f t="shared" si="0"/>
        <v>-3578.6357251585464</v>
      </c>
      <c r="J29" s="69">
        <v>0</v>
      </c>
      <c r="K29" s="70">
        <f t="shared" si="1"/>
        <v>-3578.6357251585464</v>
      </c>
      <c r="L29" s="65"/>
      <c r="N29" s="52"/>
      <c r="O29" s="53"/>
      <c r="P29" s="53"/>
      <c r="Q29" s="53"/>
      <c r="R29" s="53"/>
      <c r="S29" s="53"/>
    </row>
    <row r="30" spans="2:19" x14ac:dyDescent="0.2">
      <c r="B30" s="65"/>
      <c r="C30" s="71" t="s">
        <v>19</v>
      </c>
      <c r="D30" s="67">
        <f>GETPIVOTDATA("Sum of "&amp;T(Transactions!$J$19),Pivot!$A$3,"Customer",C30)</f>
        <v>6863.8800533688081</v>
      </c>
      <c r="E30" s="67">
        <f>GETPIVOTDATA("Sum of "&amp;T(Transactions!$K$19),Pivot!$A$3,"Customer",C30)</f>
        <v>13344.845190835611</v>
      </c>
      <c r="F30" s="67">
        <f t="shared" si="2"/>
        <v>-6480.9651374668028</v>
      </c>
      <c r="G30" s="53">
        <f>+GETPIVOTDATA("Sum of "&amp;T(Transactions!$M$19),Pivot!$A$3,"Customer","OG&amp;E")</f>
        <v>-353.90669797113833</v>
      </c>
      <c r="H30" s="53">
        <f>GETPIVOTDATA("Sum of "&amp;T(Transactions!$Q$19),Pivot!$A$3,"Customer",C30)</f>
        <v>0</v>
      </c>
      <c r="I30" s="68">
        <f t="shared" si="0"/>
        <v>-6834.8718354379416</v>
      </c>
      <c r="J30" s="69">
        <v>0</v>
      </c>
      <c r="K30" s="70">
        <f t="shared" si="1"/>
        <v>-6834.8718354379416</v>
      </c>
      <c r="L30" s="65"/>
    </row>
    <row r="31" spans="2:19" x14ac:dyDescent="0.2">
      <c r="B31" s="65"/>
      <c r="C31" s="66" t="s">
        <v>8</v>
      </c>
      <c r="D31" s="67">
        <f>GETPIVOTDATA("Sum of "&amp;T(Transactions!$J$19),Pivot!$A$3,"Customer",C31)</f>
        <v>14105.489354957597</v>
      </c>
      <c r="E31" s="67">
        <f>GETPIVOTDATA("Sum of "&amp;T(Transactions!$K$19),Pivot!$A$3,"Customer",C31)</f>
        <v>27424.076516387027</v>
      </c>
      <c r="F31" s="67">
        <f t="shared" si="2"/>
        <v>-13318.58716142943</v>
      </c>
      <c r="G31" s="53">
        <f>+GETPIVOTDATA("Sum of "&amp;T(Transactions!$M$19),Pivot!$A$3,"Customer","OMPA")</f>
        <v>-727.28939347213498</v>
      </c>
      <c r="H31" s="53">
        <f>GETPIVOTDATA("Sum of "&amp;T(Transactions!$Q$19),Pivot!$A$3,"Customer",C31)</f>
        <v>0</v>
      </c>
      <c r="I31" s="68">
        <f t="shared" si="0"/>
        <v>-14045.876554901564</v>
      </c>
      <c r="J31" s="69">
        <v>0</v>
      </c>
      <c r="K31" s="70">
        <f t="shared" si="1"/>
        <v>-14045.876554901564</v>
      </c>
      <c r="L31" s="65"/>
    </row>
    <row r="32" spans="2:19" x14ac:dyDescent="0.2">
      <c r="B32" s="65"/>
      <c r="C32" s="66" t="s">
        <v>54</v>
      </c>
      <c r="D32" s="67">
        <f>GETPIVOTDATA("Sum of "&amp;T(Transactions!$J$19),Pivot!$A$3,"Customer",C32)</f>
        <v>1413.7866147662166</v>
      </c>
      <c r="E32" s="67">
        <f>GETPIVOTDATA("Sum of "&amp;T(Transactions!$K$19),Pivot!$A$3,"Customer",C32)</f>
        <v>2748.7023899362666</v>
      </c>
      <c r="F32" s="67">
        <f t="shared" si="2"/>
        <v>-1334.91577517005</v>
      </c>
      <c r="G32" s="53">
        <f>+GETPIVOTDATA("Sum of "&amp;T(Transactions!$M$19),Pivot!$A$3,"Customer","Prescott, AR")</f>
        <v>-72.89587646889801</v>
      </c>
      <c r="H32" s="53">
        <f>GETPIVOTDATA("Sum of "&amp;T(Transactions!$Q$19),Pivot!$A$3,"Customer",C32)</f>
        <v>0</v>
      </c>
      <c r="I32" s="68">
        <f t="shared" si="0"/>
        <v>-1407.811651638948</v>
      </c>
      <c r="J32" s="69">
        <v>0</v>
      </c>
      <c r="K32" s="70">
        <f t="shared" si="1"/>
        <v>-1407.811651638948</v>
      </c>
      <c r="L32" s="65"/>
    </row>
    <row r="33" spans="2:13" x14ac:dyDescent="0.2">
      <c r="B33" s="65"/>
      <c r="C33" s="73" t="s">
        <v>9</v>
      </c>
      <c r="D33" s="67">
        <f>GETPIVOTDATA("Sum of "&amp;T(Transactions!$J$19),Pivot!$A$3,"Customer",C33)</f>
        <v>6065.2524999894176</v>
      </c>
      <c r="E33" s="67">
        <f>GETPIVOTDATA("Sum of "&amp;T(Transactions!$K$19),Pivot!$A$3,"Customer",C33)</f>
        <v>11792.143077436505</v>
      </c>
      <c r="F33" s="67">
        <f t="shared" si="2"/>
        <v>-5726.8905774470877</v>
      </c>
      <c r="G33" s="53">
        <f>+GETPIVOTDATA("Sum of "&amp;T(Transactions!$M$19),Pivot!$A$3,"Customer","WFEC")</f>
        <v>-312.72887462229522</v>
      </c>
      <c r="H33" s="53">
        <f>GETPIVOTDATA("Sum of "&amp;T(Transactions!$Q$19),Pivot!$A$3,"Customer",C33)</f>
        <v>0</v>
      </c>
      <c r="I33" s="68">
        <f t="shared" si="0"/>
        <v>-6039.6194520693825</v>
      </c>
      <c r="J33" s="69">
        <v>0</v>
      </c>
      <c r="K33" s="70">
        <f t="shared" si="1"/>
        <v>-6039.6194520693825</v>
      </c>
      <c r="L33" s="65"/>
    </row>
    <row r="34" spans="2:13" ht="24" x14ac:dyDescent="0.2">
      <c r="C34" s="74" t="s">
        <v>42</v>
      </c>
      <c r="D34" s="75">
        <f t="shared" ref="D34:J34" si="3">SUM(D21:D33)</f>
        <v>299636.4242165591</v>
      </c>
      <c r="E34" s="75">
        <f t="shared" si="3"/>
        <v>582557.04697855341</v>
      </c>
      <c r="F34" s="75">
        <f t="shared" si="3"/>
        <v>-282920.62276199425</v>
      </c>
      <c r="G34" s="76">
        <f t="shared" si="3"/>
        <v>-15449.474154828122</v>
      </c>
      <c r="H34" s="76">
        <f t="shared" si="3"/>
        <v>0</v>
      </c>
      <c r="I34" s="77">
        <f t="shared" si="3"/>
        <v>-298370.09691682254</v>
      </c>
      <c r="J34" s="78">
        <f t="shared" si="3"/>
        <v>0</v>
      </c>
      <c r="K34" s="79">
        <f t="shared" si="1"/>
        <v>-298370.09691682254</v>
      </c>
    </row>
    <row r="35" spans="2:13" x14ac:dyDescent="0.2">
      <c r="C35" s="80" t="s">
        <v>21</v>
      </c>
      <c r="D35" s="67">
        <f>GETPIVOTDATA("Sum of "&amp;T(Transactions!$J$19),Pivot!$A$3,"Customer",C35)</f>
        <v>418103.10872258007</v>
      </c>
      <c r="E35" s="67">
        <f>GETPIVOTDATA("Sum of "&amp;T(Transactions!$K$19),Pivot!$A$3,"Customer",C35)</f>
        <v>812881.52128641901</v>
      </c>
      <c r="F35" s="67">
        <f t="shared" si="2"/>
        <v>-394778.41256383894</v>
      </c>
      <c r="G35" s="53">
        <f>+GETPIVOTDATA("Sum of "&amp;T(Transactions!$M$19),Pivot!$A$3,"Customer","PSO")</f>
        <v>-21557.70343726395</v>
      </c>
      <c r="H35" s="53">
        <f>GETPIVOTDATA("Sum of "&amp;T(Transactions!$Q$19),Pivot!$A$3,"Customer",C35)</f>
        <v>0</v>
      </c>
      <c r="I35" s="68">
        <f>F35+G35-H35</f>
        <v>-416336.1160011029</v>
      </c>
      <c r="J35" s="69">
        <v>0</v>
      </c>
      <c r="K35" s="70">
        <f t="shared" si="1"/>
        <v>-416336.1160011029</v>
      </c>
    </row>
    <row r="36" spans="2:13" x14ac:dyDescent="0.2">
      <c r="C36" s="81" t="s">
        <v>22</v>
      </c>
      <c r="D36" s="67">
        <f>GETPIVOTDATA("Sum of "&amp;T(Transactions!$J$19),Pivot!$A$3,"Customer",C36)</f>
        <v>393906.85230803158</v>
      </c>
      <c r="E36" s="67">
        <f>GETPIVOTDATA("Sum of "&amp;T(Transactions!$K$19),Pivot!$A$3,"Customer",C36)</f>
        <v>765838.84374262451</v>
      </c>
      <c r="F36" s="67">
        <f>D36-E36</f>
        <v>-371931.99143459293</v>
      </c>
      <c r="G36" s="53">
        <f>+GETPIVOTDATA("Sum of "&amp;T(Transactions!$M$19),Pivot!$A$3,"Customer","SWEPCO")</f>
        <v>-20310.126681208458</v>
      </c>
      <c r="H36" s="53">
        <f>GETPIVOTDATA("Sum of "&amp;T(Transactions!$Q$19),Pivot!$A$3,"Customer",C36)</f>
        <v>0</v>
      </c>
      <c r="I36" s="68">
        <f>F36+G36-H36</f>
        <v>-392242.11811580136</v>
      </c>
      <c r="J36" s="69">
        <v>0</v>
      </c>
      <c r="K36" s="70">
        <f t="shared" si="1"/>
        <v>-392242.11811580136</v>
      </c>
    </row>
    <row r="37" spans="2:13" x14ac:dyDescent="0.2">
      <c r="C37" s="82" t="s">
        <v>80</v>
      </c>
      <c r="D37" s="67">
        <f>GETPIVOTDATA("Sum of "&amp;T(Transactions!$J$19),Pivot!$A$3,"Customer",C37)</f>
        <v>18023.081272210547</v>
      </c>
      <c r="E37" s="67">
        <f>GETPIVOTDATA("Sum of "&amp;T(Transactions!$K$19),Pivot!$A$3,"Customer",C37)</f>
        <v>35040.709856439433</v>
      </c>
      <c r="F37" s="67">
        <f>D37-E37</f>
        <v>-17017.628584228885</v>
      </c>
      <c r="G37" s="53">
        <f>+GETPIVOTDATA("Sum of "&amp;T(Transactions!$M$19),Pivot!$A$3,"Customer","SWEPCO-Valley")</f>
        <v>-929.28331071037894</v>
      </c>
      <c r="H37" s="53">
        <f>GETPIVOTDATA("Sum of "&amp;T(Transactions!$Q$19),Pivot!$A$3,"Customer",C37)</f>
        <v>0</v>
      </c>
      <c r="I37" s="68">
        <f>F37+G37-H37</f>
        <v>-17946.911894939265</v>
      </c>
      <c r="J37" s="69">
        <v>0</v>
      </c>
      <c r="K37" s="70">
        <f t="shared" si="1"/>
        <v>-17946.911894939265</v>
      </c>
    </row>
    <row r="38" spans="2:13" ht="24" x14ac:dyDescent="0.2">
      <c r="C38" s="83" t="s">
        <v>50</v>
      </c>
      <c r="D38" s="84">
        <f t="shared" ref="D38:I38" si="4">SUM(D35:D37)</f>
        <v>830033.04230282223</v>
      </c>
      <c r="E38" s="84">
        <f t="shared" si="4"/>
        <v>1613761.0748854829</v>
      </c>
      <c r="F38" s="84">
        <f t="shared" si="4"/>
        <v>-783728.03258266079</v>
      </c>
      <c r="G38" s="85">
        <f t="shared" si="4"/>
        <v>-42797.113429182791</v>
      </c>
      <c r="H38" s="85">
        <f t="shared" si="4"/>
        <v>0</v>
      </c>
      <c r="I38" s="86">
        <f t="shared" si="4"/>
        <v>-826525.14601184346</v>
      </c>
      <c r="J38" s="87">
        <f>SUM(J35:J37)</f>
        <v>0</v>
      </c>
      <c r="K38" s="88">
        <f t="shared" si="1"/>
        <v>-826525.14601184346</v>
      </c>
      <c r="M38" s="89"/>
    </row>
    <row r="39" spans="2:13" ht="23.25" customHeight="1" thickBot="1" x14ac:dyDescent="0.25">
      <c r="C39" s="90" t="s">
        <v>43</v>
      </c>
      <c r="D39" s="91">
        <f t="shared" ref="D39:I39" si="5">SUM(D34,D38)</f>
        <v>1129669.4665193814</v>
      </c>
      <c r="E39" s="92">
        <f t="shared" si="5"/>
        <v>2196318.1218640362</v>
      </c>
      <c r="F39" s="91">
        <f t="shared" si="5"/>
        <v>-1066648.655344655</v>
      </c>
      <c r="G39" s="92">
        <f t="shared" si="5"/>
        <v>-58246.587584010915</v>
      </c>
      <c r="H39" s="92">
        <f t="shared" si="5"/>
        <v>0</v>
      </c>
      <c r="I39" s="93">
        <f t="shared" si="5"/>
        <v>-1124895.2429286661</v>
      </c>
      <c r="J39" s="94">
        <f>SUM(J34,J38)</f>
        <v>0</v>
      </c>
      <c r="K39" s="95">
        <f t="shared" si="1"/>
        <v>-1124895.2429286661</v>
      </c>
      <c r="M39" s="89"/>
    </row>
    <row r="40" spans="2:13" x14ac:dyDescent="0.2">
      <c r="E40" s="52"/>
      <c r="F40" s="52"/>
      <c r="G40" s="52"/>
      <c r="H40" s="52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3"/>
  <sheetViews>
    <sheetView zoomScale="85" workbookViewId="0">
      <pane xSplit="2" ySplit="4" topLeftCell="F116" activePane="bottomRight" state="frozen"/>
      <selection pane="topRight" activeCell="C1" sqref="C1"/>
      <selection pane="bottomLeft" activeCell="A5" sqref="A5"/>
      <selection pane="bottomRight" activeCell="L115" sqref="L115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0.5703125" style="1" bestFit="1" customWidth="1"/>
    <col min="16" max="16384" width="8.7109375" style="1"/>
  </cols>
  <sheetData>
    <row r="3" spans="1:15" x14ac:dyDescent="0.2">
      <c r="A3" s="97"/>
      <c r="B3" s="98"/>
      <c r="C3" s="99" t="s">
        <v>52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">
      <c r="A4" s="99" t="s">
        <v>0</v>
      </c>
      <c r="B4" s="99" t="s">
        <v>24</v>
      </c>
      <c r="C4" s="101">
        <v>44562</v>
      </c>
      <c r="D4" s="102">
        <v>44593</v>
      </c>
      <c r="E4" s="102">
        <v>44621</v>
      </c>
      <c r="F4" s="102">
        <v>44652</v>
      </c>
      <c r="G4" s="102">
        <v>44682</v>
      </c>
      <c r="H4" s="102">
        <v>44713</v>
      </c>
      <c r="I4" s="102">
        <v>44743</v>
      </c>
      <c r="J4" s="102">
        <v>44774</v>
      </c>
      <c r="K4" s="102">
        <v>44805</v>
      </c>
      <c r="L4" s="102">
        <v>44835</v>
      </c>
      <c r="M4" s="102">
        <v>44866</v>
      </c>
      <c r="N4" s="102">
        <v>44896</v>
      </c>
      <c r="O4" s="103" t="s">
        <v>18</v>
      </c>
    </row>
    <row r="5" spans="1:15" x14ac:dyDescent="0.2">
      <c r="A5" s="97" t="s">
        <v>14</v>
      </c>
      <c r="B5" s="97" t="s">
        <v>69</v>
      </c>
      <c r="C5" s="104">
        <v>9637.491961726957</v>
      </c>
      <c r="D5" s="105">
        <v>8590.642330945866</v>
      </c>
      <c r="E5" s="105">
        <v>7554.5849643996307</v>
      </c>
      <c r="F5" s="105">
        <v>5924.9530649362814</v>
      </c>
      <c r="G5" s="105">
        <v>8126.5749688470314</v>
      </c>
      <c r="H5" s="105">
        <v>10166.312909234932</v>
      </c>
      <c r="I5" s="105">
        <v>11180.785747311453</v>
      </c>
      <c r="J5" s="105">
        <v>10295.82008005321</v>
      </c>
      <c r="K5" s="105">
        <v>9281.3472419766895</v>
      </c>
      <c r="L5" s="105">
        <v>6356.6436343305468</v>
      </c>
      <c r="M5" s="105">
        <v>7878.3528914453291</v>
      </c>
      <c r="N5" s="105">
        <v>12119.712735743979</v>
      </c>
      <c r="O5" s="106">
        <v>107113.22253095191</v>
      </c>
    </row>
    <row r="6" spans="1:15" x14ac:dyDescent="0.2">
      <c r="A6" s="229"/>
      <c r="B6" s="107" t="s">
        <v>25</v>
      </c>
      <c r="C6" s="239">
        <v>-9099.8457040217927</v>
      </c>
      <c r="D6" s="240">
        <v>-8111.3966185905338</v>
      </c>
      <c r="E6" s="240">
        <v>-7133.1377299162968</v>
      </c>
      <c r="F6" s="240">
        <v>-5594.4180196057814</v>
      </c>
      <c r="G6" s="240">
        <v>-7673.2181580385313</v>
      </c>
      <c r="H6" s="240">
        <v>-9599.1653451159309</v>
      </c>
      <c r="I6" s="240">
        <v>-10557.043840276121</v>
      </c>
      <c r="J6" s="240">
        <v>-9721.4477062002115</v>
      </c>
      <c r="K6" s="240">
        <v>-8763.5692110400214</v>
      </c>
      <c r="L6" s="240">
        <v>-6002.0258898867123</v>
      </c>
      <c r="M6" s="240">
        <v>-7438.8436326269966</v>
      </c>
      <c r="N6" s="240">
        <v>-11443.590958137145</v>
      </c>
      <c r="O6" s="241">
        <v>-101137.7028134561</v>
      </c>
    </row>
    <row r="7" spans="1:15" x14ac:dyDescent="0.2">
      <c r="A7" s="229"/>
      <c r="B7" s="107" t="s">
        <v>26</v>
      </c>
      <c r="C7" s="239">
        <v>-496.91616554752602</v>
      </c>
      <c r="D7" s="240">
        <v>-442.93982953620463</v>
      </c>
      <c r="E7" s="240">
        <v>-389.51995059716489</v>
      </c>
      <c r="F7" s="240">
        <v>-305.49493268263359</v>
      </c>
      <c r="G7" s="240">
        <v>-419.01217542809309</v>
      </c>
      <c r="H7" s="240">
        <v>-524.18256208932758</v>
      </c>
      <c r="I7" s="240">
        <v>-576.48952688380393</v>
      </c>
      <c r="J7" s="240">
        <v>-530.86004695670749</v>
      </c>
      <c r="K7" s="240">
        <v>-478.55308216223114</v>
      </c>
      <c r="L7" s="240">
        <v>-327.75321557390015</v>
      </c>
      <c r="M7" s="240">
        <v>-406.2136627656148</v>
      </c>
      <c r="N7" s="240">
        <v>-624.90129217230879</v>
      </c>
      <c r="O7" s="241">
        <v>-5522.8364423955163</v>
      </c>
    </row>
    <row r="8" spans="1:15" x14ac:dyDescent="0.2">
      <c r="A8" s="229"/>
      <c r="B8" s="107" t="s">
        <v>27</v>
      </c>
      <c r="C8" s="239">
        <v>-9596.7618695693182</v>
      </c>
      <c r="D8" s="240">
        <v>-8554.3364481267381</v>
      </c>
      <c r="E8" s="240">
        <v>-7522.6576805134619</v>
      </c>
      <c r="F8" s="240">
        <v>-5899.912952288415</v>
      </c>
      <c r="G8" s="240">
        <v>-8092.2303334666249</v>
      </c>
      <c r="H8" s="240">
        <v>-10123.347907205258</v>
      </c>
      <c r="I8" s="240">
        <v>-11133.533367159926</v>
      </c>
      <c r="J8" s="240">
        <v>-10252.30775315692</v>
      </c>
      <c r="K8" s="240">
        <v>-9242.122293202252</v>
      </c>
      <c r="L8" s="240">
        <v>-6329.7791054606123</v>
      </c>
      <c r="M8" s="240">
        <v>-7845.0572953926112</v>
      </c>
      <c r="N8" s="240">
        <v>-12068.492250309453</v>
      </c>
      <c r="O8" s="241">
        <v>-106660.53925585159</v>
      </c>
    </row>
    <row r="9" spans="1:15" x14ac:dyDescent="0.2">
      <c r="A9" s="229"/>
      <c r="B9" s="107" t="s">
        <v>48</v>
      </c>
      <c r="C9" s="108">
        <v>18737.33766574875</v>
      </c>
      <c r="D9" s="96">
        <v>16702.0389495364</v>
      </c>
      <c r="E9" s="96">
        <v>14687.722694315928</v>
      </c>
      <c r="F9" s="96">
        <v>11519.371084542063</v>
      </c>
      <c r="G9" s="96">
        <v>15799.793126885563</v>
      </c>
      <c r="H9" s="96">
        <v>19765.478254350863</v>
      </c>
      <c r="I9" s="96">
        <v>21737.829587587574</v>
      </c>
      <c r="J9" s="96">
        <v>20017.267786253422</v>
      </c>
      <c r="K9" s="96">
        <v>18044.916453016711</v>
      </c>
      <c r="L9" s="96">
        <v>12358.669524217259</v>
      </c>
      <c r="M9" s="96">
        <v>15317.196524072326</v>
      </c>
      <c r="N9" s="96">
        <v>23563.303693881124</v>
      </c>
      <c r="O9" s="109">
        <v>208250.92534440797</v>
      </c>
    </row>
    <row r="10" spans="1:15" x14ac:dyDescent="0.2">
      <c r="A10" s="229"/>
      <c r="B10" s="107" t="s">
        <v>86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">
      <c r="A11" s="229"/>
      <c r="B11" s="107" t="s">
        <v>88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">
      <c r="A12" s="97" t="s">
        <v>17</v>
      </c>
      <c r="B12" s="97" t="s">
        <v>69</v>
      </c>
      <c r="C12" s="104">
        <v>1143.9800088948011</v>
      </c>
      <c r="D12" s="105">
        <v>1090.0186877205181</v>
      </c>
      <c r="E12" s="105">
        <v>1046.8496307810917</v>
      </c>
      <c r="F12" s="105">
        <v>1057.6418950159482</v>
      </c>
      <c r="G12" s="105">
        <v>1122.395480425088</v>
      </c>
      <c r="H12" s="105">
        <v>1241.1103870085108</v>
      </c>
      <c r="I12" s="105">
        <v>453.27509786397786</v>
      </c>
      <c r="J12" s="105">
        <v>442.48283362912122</v>
      </c>
      <c r="K12" s="105">
        <v>1241.1103870085108</v>
      </c>
      <c r="L12" s="105">
        <v>1133.1877446599447</v>
      </c>
      <c r="M12" s="105">
        <v>1122.395480425088</v>
      </c>
      <c r="N12" s="105">
        <v>1122.395480425088</v>
      </c>
      <c r="O12" s="106">
        <v>12216.843113857689</v>
      </c>
    </row>
    <row r="13" spans="1:15" x14ac:dyDescent="0.2">
      <c r="A13" s="229"/>
      <c r="B13" s="107" t="s">
        <v>25</v>
      </c>
      <c r="C13" s="239">
        <v>-1080.1608562444678</v>
      </c>
      <c r="D13" s="240">
        <v>-1029.2098724593513</v>
      </c>
      <c r="E13" s="240">
        <v>-988.44908543125825</v>
      </c>
      <c r="F13" s="240">
        <v>-998.63928218828187</v>
      </c>
      <c r="G13" s="240">
        <v>-1059.7804627304213</v>
      </c>
      <c r="H13" s="240">
        <v>-1171.8726270576772</v>
      </c>
      <c r="I13" s="240">
        <v>-427.9882637949778</v>
      </c>
      <c r="J13" s="240">
        <v>-417.79806703795458</v>
      </c>
      <c r="K13" s="240">
        <v>-1171.8726270576772</v>
      </c>
      <c r="L13" s="240">
        <v>-1069.9706594874447</v>
      </c>
      <c r="M13" s="240">
        <v>-1059.7804627304213</v>
      </c>
      <c r="N13" s="240">
        <v>-1059.7804627304213</v>
      </c>
      <c r="O13" s="241">
        <v>-11535.302728950355</v>
      </c>
    </row>
    <row r="14" spans="1:15" x14ac:dyDescent="0.2">
      <c r="A14" s="229"/>
      <c r="B14" s="107" t="s">
        <v>26</v>
      </c>
      <c r="C14" s="239">
        <v>-58.984449661856395</v>
      </c>
      <c r="D14" s="240">
        <v>-56.202164300448075</v>
      </c>
      <c r="E14" s="240">
        <v>-53.976336011321415</v>
      </c>
      <c r="F14" s="240">
        <v>-54.532793083603082</v>
      </c>
      <c r="G14" s="240">
        <v>-57.871535517293061</v>
      </c>
      <c r="H14" s="240">
        <v>-63.992563312391376</v>
      </c>
      <c r="I14" s="240">
        <v>-23.371197035829891</v>
      </c>
      <c r="J14" s="240">
        <v>-22.814739963548227</v>
      </c>
      <c r="K14" s="240">
        <v>-63.992563312391376</v>
      </c>
      <c r="L14" s="240">
        <v>-58.427992589574735</v>
      </c>
      <c r="M14" s="240">
        <v>-57.871535517293061</v>
      </c>
      <c r="N14" s="240">
        <v>-57.871535517293061</v>
      </c>
      <c r="O14" s="241">
        <v>-629.90940582284384</v>
      </c>
    </row>
    <row r="15" spans="1:15" x14ac:dyDescent="0.2">
      <c r="A15" s="229"/>
      <c r="B15" s="107" t="s">
        <v>27</v>
      </c>
      <c r="C15" s="239">
        <v>-1139.1453059063242</v>
      </c>
      <c r="D15" s="240">
        <v>-1085.4120367597993</v>
      </c>
      <c r="E15" s="240">
        <v>-1042.4254214425796</v>
      </c>
      <c r="F15" s="240">
        <v>-1053.172075271885</v>
      </c>
      <c r="G15" s="240">
        <v>-1117.6519982477143</v>
      </c>
      <c r="H15" s="240">
        <v>-1235.8651903700686</v>
      </c>
      <c r="I15" s="240">
        <v>-451.35946083080768</v>
      </c>
      <c r="J15" s="240">
        <v>-440.6128070015028</v>
      </c>
      <c r="K15" s="240">
        <v>-1235.8651903700686</v>
      </c>
      <c r="L15" s="240">
        <v>-1128.3986520770195</v>
      </c>
      <c r="M15" s="240">
        <v>-1117.6519982477143</v>
      </c>
      <c r="N15" s="240">
        <v>-1117.6519982477143</v>
      </c>
      <c r="O15" s="241">
        <v>-12165.212134773199</v>
      </c>
    </row>
    <row r="16" spans="1:15" x14ac:dyDescent="0.2">
      <c r="A16" s="229"/>
      <c r="B16" s="107" t="s">
        <v>48</v>
      </c>
      <c r="C16" s="108">
        <v>2224.140865139269</v>
      </c>
      <c r="D16" s="96">
        <v>2119.2285601798694</v>
      </c>
      <c r="E16" s="96">
        <v>2035.29871621235</v>
      </c>
      <c r="F16" s="96">
        <v>2056.2811772042301</v>
      </c>
      <c r="G16" s="96">
        <v>2182.1759431555092</v>
      </c>
      <c r="H16" s="96">
        <v>2412.9830140661879</v>
      </c>
      <c r="I16" s="96">
        <v>881.26336165895566</v>
      </c>
      <c r="J16" s="96">
        <v>860.2809006670758</v>
      </c>
      <c r="K16" s="96">
        <v>2412.9830140661879</v>
      </c>
      <c r="L16" s="96">
        <v>2203.1584041473893</v>
      </c>
      <c r="M16" s="96">
        <v>2182.1759431555092</v>
      </c>
      <c r="N16" s="96">
        <v>2182.1759431555092</v>
      </c>
      <c r="O16" s="109">
        <v>23752.145842808044</v>
      </c>
    </row>
    <row r="17" spans="1:15" x14ac:dyDescent="0.2">
      <c r="A17" s="229"/>
      <c r="B17" s="107" t="s">
        <v>86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">
      <c r="A18" s="229"/>
      <c r="B18" s="107" t="s">
        <v>88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">
      <c r="A19" s="97" t="s">
        <v>13</v>
      </c>
      <c r="B19" s="97" t="s">
        <v>69</v>
      </c>
      <c r="C19" s="104">
        <v>11277.916125425163</v>
      </c>
      <c r="D19" s="105">
        <v>12022.58235763027</v>
      </c>
      <c r="E19" s="105">
        <v>10544.042157454913</v>
      </c>
      <c r="F19" s="105">
        <v>5817.0304225877153</v>
      </c>
      <c r="G19" s="105">
        <v>8137.3672330818881</v>
      </c>
      <c r="H19" s="105">
        <v>10209.481966174359</v>
      </c>
      <c r="I19" s="105">
        <v>10565.626685924626</v>
      </c>
      <c r="J19" s="105">
        <v>10500.873100515486</v>
      </c>
      <c r="K19" s="105">
        <v>9141.0478069235523</v>
      </c>
      <c r="L19" s="105">
        <v>6572.488919027679</v>
      </c>
      <c r="M19" s="105">
        <v>8709.3572375292879</v>
      </c>
      <c r="N19" s="105">
        <v>15476.106912784386</v>
      </c>
      <c r="O19" s="106">
        <v>118973.92092505931</v>
      </c>
    </row>
    <row r="20" spans="1:15" x14ac:dyDescent="0.2">
      <c r="A20" s="229"/>
      <c r="B20" s="107" t="s">
        <v>25</v>
      </c>
      <c r="C20" s="239">
        <v>-10648.755611089331</v>
      </c>
      <c r="D20" s="240">
        <v>-11351.879187323937</v>
      </c>
      <c r="E20" s="240">
        <v>-9955.8222316117481</v>
      </c>
      <c r="F20" s="240">
        <v>-5492.5160520355494</v>
      </c>
      <c r="G20" s="240">
        <v>-7683.4083547955543</v>
      </c>
      <c r="H20" s="240">
        <v>-9639.9261321440226</v>
      </c>
      <c r="I20" s="240">
        <v>-9976.2026251257939</v>
      </c>
      <c r="J20" s="240">
        <v>-9915.0614445836527</v>
      </c>
      <c r="K20" s="240">
        <v>-8631.0966531987197</v>
      </c>
      <c r="L20" s="240">
        <v>-6205.8298250271782</v>
      </c>
      <c r="M20" s="240">
        <v>-8223.4887829177878</v>
      </c>
      <c r="N20" s="240">
        <v>-14612.742149571388</v>
      </c>
      <c r="O20" s="241">
        <v>-112336.72904942466</v>
      </c>
    </row>
    <row r="21" spans="1:15" x14ac:dyDescent="0.2">
      <c r="A21" s="229"/>
      <c r="B21" s="107" t="s">
        <v>26</v>
      </c>
      <c r="C21" s="239">
        <v>-581.49764053433898</v>
      </c>
      <c r="D21" s="240">
        <v>-619.89317852177385</v>
      </c>
      <c r="E21" s="240">
        <v>-543.65855961918578</v>
      </c>
      <c r="F21" s="240">
        <v>-299.93036195981693</v>
      </c>
      <c r="G21" s="240">
        <v>-419.56863250037475</v>
      </c>
      <c r="H21" s="240">
        <v>-526.40839037845421</v>
      </c>
      <c r="I21" s="240">
        <v>-544.7714737637491</v>
      </c>
      <c r="J21" s="240">
        <v>-541.43273133005914</v>
      </c>
      <c r="K21" s="240">
        <v>-471.3191402225695</v>
      </c>
      <c r="L21" s="240">
        <v>-338.88235701953346</v>
      </c>
      <c r="M21" s="240">
        <v>-449.06085733130294</v>
      </c>
      <c r="N21" s="240">
        <v>-797.95944165190622</v>
      </c>
      <c r="O21" s="241">
        <v>-6134.3827648330644</v>
      </c>
    </row>
    <row r="22" spans="1:15" x14ac:dyDescent="0.2">
      <c r="A22" s="229"/>
      <c r="B22" s="107" t="s">
        <v>27</v>
      </c>
      <c r="C22" s="239">
        <v>-11230.25325162367</v>
      </c>
      <c r="D22" s="240">
        <v>-11971.772365845711</v>
      </c>
      <c r="E22" s="240">
        <v>-10499.480791230933</v>
      </c>
      <c r="F22" s="240">
        <v>-5792.4464139953661</v>
      </c>
      <c r="G22" s="240">
        <v>-8102.9769872959287</v>
      </c>
      <c r="H22" s="240">
        <v>-10166.334522522477</v>
      </c>
      <c r="I22" s="240">
        <v>-10520.974098889543</v>
      </c>
      <c r="J22" s="240">
        <v>-10456.494175913711</v>
      </c>
      <c r="K22" s="240">
        <v>-9102.415793421289</v>
      </c>
      <c r="L22" s="240">
        <v>-6544.7121820467119</v>
      </c>
      <c r="M22" s="240">
        <v>-8672.5496402490899</v>
      </c>
      <c r="N22" s="240">
        <v>-15410.701591223295</v>
      </c>
      <c r="O22" s="241">
        <v>-118471.1118142577</v>
      </c>
    </row>
    <row r="23" spans="1:15" x14ac:dyDescent="0.2">
      <c r="A23" s="229"/>
      <c r="B23" s="107" t="s">
        <v>48</v>
      </c>
      <c r="C23" s="108">
        <v>21926.671736514494</v>
      </c>
      <c r="D23" s="96">
        <v>23374.461544954207</v>
      </c>
      <c r="E23" s="96">
        <v>20499.864389066661</v>
      </c>
      <c r="F23" s="96">
        <v>11309.546474623265</v>
      </c>
      <c r="G23" s="96">
        <v>15820.775587877442</v>
      </c>
      <c r="H23" s="96">
        <v>19849.408098318381</v>
      </c>
      <c r="I23" s="96">
        <v>20541.82931105042</v>
      </c>
      <c r="J23" s="96">
        <v>20415.934545099139</v>
      </c>
      <c r="K23" s="96">
        <v>17772.144460122272</v>
      </c>
      <c r="L23" s="96">
        <v>12778.318744054857</v>
      </c>
      <c r="M23" s="96">
        <v>16932.846020447076</v>
      </c>
      <c r="N23" s="96">
        <v>30088.849062355774</v>
      </c>
      <c r="O23" s="109">
        <v>231310.64997448394</v>
      </c>
    </row>
    <row r="24" spans="1:15" x14ac:dyDescent="0.2">
      <c r="A24" s="229"/>
      <c r="B24" s="107" t="s">
        <v>86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">
      <c r="A25" s="229"/>
      <c r="B25" s="107" t="s">
        <v>88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">
      <c r="A26" s="97" t="s">
        <v>15</v>
      </c>
      <c r="B26" s="97" t="s">
        <v>69</v>
      </c>
      <c r="C26" s="104">
        <v>86.338113878852923</v>
      </c>
      <c r="D26" s="105">
        <v>75.545849643996306</v>
      </c>
      <c r="E26" s="105">
        <v>53.961321174283079</v>
      </c>
      <c r="F26" s="105">
        <v>75.545849643996306</v>
      </c>
      <c r="G26" s="105">
        <v>107.92264234856616</v>
      </c>
      <c r="H26" s="105">
        <v>151.09169928799261</v>
      </c>
      <c r="I26" s="105">
        <v>194.26075622741908</v>
      </c>
      <c r="J26" s="105">
        <v>172.67622775770585</v>
      </c>
      <c r="K26" s="105">
        <v>97.13037811370954</v>
      </c>
      <c r="L26" s="105">
        <v>64.753585409139689</v>
      </c>
      <c r="M26" s="105">
        <v>64.753585409139689</v>
      </c>
      <c r="N26" s="105">
        <v>86.338113878852923</v>
      </c>
      <c r="O26" s="106">
        <v>1230.3181227736543</v>
      </c>
    </row>
    <row r="27" spans="1:15" x14ac:dyDescent="0.2">
      <c r="A27" s="229"/>
      <c r="B27" s="107" t="s">
        <v>25</v>
      </c>
      <c r="C27" s="239">
        <v>-81.521574056186253</v>
      </c>
      <c r="D27" s="240">
        <v>-71.33137729916298</v>
      </c>
      <c r="E27" s="240">
        <v>-50.950983785116399</v>
      </c>
      <c r="F27" s="240">
        <v>-71.33137729916298</v>
      </c>
      <c r="G27" s="240">
        <v>-101.9019675702328</v>
      </c>
      <c r="H27" s="240">
        <v>-142.66275459832596</v>
      </c>
      <c r="I27" s="240">
        <v>-183.42354162641905</v>
      </c>
      <c r="J27" s="240">
        <v>-163.04314811237251</v>
      </c>
      <c r="K27" s="240">
        <v>-91.711770813209526</v>
      </c>
      <c r="L27" s="240">
        <v>-61.141180542139693</v>
      </c>
      <c r="M27" s="240">
        <v>-61.141180542139693</v>
      </c>
      <c r="N27" s="240">
        <v>-81.521574056186253</v>
      </c>
      <c r="O27" s="241">
        <v>-1161.682430300654</v>
      </c>
    </row>
    <row r="28" spans="1:15" x14ac:dyDescent="0.2">
      <c r="A28" s="229"/>
      <c r="B28" s="107" t="s">
        <v>26</v>
      </c>
      <c r="C28" s="239">
        <v>-4.4516565782533135</v>
      </c>
      <c r="D28" s="240">
        <v>-3.8951995059716484</v>
      </c>
      <c r="E28" s="240">
        <v>-2.7822853614083205</v>
      </c>
      <c r="F28" s="240">
        <v>-3.8951995059716484</v>
      </c>
      <c r="G28" s="240">
        <v>-5.564570722816641</v>
      </c>
      <c r="H28" s="240">
        <v>-7.7903990119432969</v>
      </c>
      <c r="I28" s="240">
        <v>-10.016227301069954</v>
      </c>
      <c r="J28" s="240">
        <v>-8.903313156506627</v>
      </c>
      <c r="K28" s="240">
        <v>-5.0081136505349768</v>
      </c>
      <c r="L28" s="240">
        <v>-3.3387424336899842</v>
      </c>
      <c r="M28" s="240">
        <v>-3.3387424336899842</v>
      </c>
      <c r="N28" s="240">
        <v>-4.4516565782533135</v>
      </c>
      <c r="O28" s="241">
        <v>-63.436106240109716</v>
      </c>
    </row>
    <row r="29" spans="1:15" x14ac:dyDescent="0.2">
      <c r="A29" s="229"/>
      <c r="B29" s="107" t="s">
        <v>27</v>
      </c>
      <c r="C29" s="239">
        <v>-85.973230634439574</v>
      </c>
      <c r="D29" s="240">
        <v>-75.226576805134627</v>
      </c>
      <c r="E29" s="240">
        <v>-53.733269146524719</v>
      </c>
      <c r="F29" s="240">
        <v>-75.226576805134627</v>
      </c>
      <c r="G29" s="240">
        <v>-107.46653829304944</v>
      </c>
      <c r="H29" s="240">
        <v>-150.45315361026925</v>
      </c>
      <c r="I29" s="240">
        <v>-193.43976892748901</v>
      </c>
      <c r="J29" s="240">
        <v>-171.94646126887915</v>
      </c>
      <c r="K29" s="240">
        <v>-96.719884463744506</v>
      </c>
      <c r="L29" s="240">
        <v>-64.47992297582968</v>
      </c>
      <c r="M29" s="240">
        <v>-64.47992297582968</v>
      </c>
      <c r="N29" s="240">
        <v>-85.973230634439574</v>
      </c>
      <c r="O29" s="241">
        <v>-1225.1185365407637</v>
      </c>
    </row>
    <row r="30" spans="1:15" x14ac:dyDescent="0.2">
      <c r="A30" s="229"/>
      <c r="B30" s="107" t="s">
        <v>48</v>
      </c>
      <c r="C30" s="108">
        <v>167.85968793503918</v>
      </c>
      <c r="D30" s="96">
        <v>146.87722694315929</v>
      </c>
      <c r="E30" s="96">
        <v>104.91230495939948</v>
      </c>
      <c r="F30" s="96">
        <v>146.87722694315929</v>
      </c>
      <c r="G30" s="96">
        <v>209.82460991879896</v>
      </c>
      <c r="H30" s="96">
        <v>293.75445388631857</v>
      </c>
      <c r="I30" s="96">
        <v>377.68429785383813</v>
      </c>
      <c r="J30" s="96">
        <v>335.71937587007835</v>
      </c>
      <c r="K30" s="96">
        <v>188.84214892691907</v>
      </c>
      <c r="L30" s="96">
        <v>125.89476595127938</v>
      </c>
      <c r="M30" s="96">
        <v>125.89476595127938</v>
      </c>
      <c r="N30" s="96">
        <v>167.85968793503918</v>
      </c>
      <c r="O30" s="109">
        <v>2392.0005530743078</v>
      </c>
    </row>
    <row r="31" spans="1:15" x14ac:dyDescent="0.2">
      <c r="A31" s="229"/>
      <c r="B31" s="107" t="s">
        <v>86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">
      <c r="A32" s="229"/>
      <c r="B32" s="107" t="s">
        <v>88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">
      <c r="A33" s="97" t="s">
        <v>16</v>
      </c>
      <c r="B33" s="97" t="s">
        <v>69</v>
      </c>
      <c r="C33" s="104">
        <v>32.376792704569844</v>
      </c>
      <c r="D33" s="105">
        <v>21.584528469713231</v>
      </c>
      <c r="E33" s="105">
        <v>32.376792704569844</v>
      </c>
      <c r="F33" s="105">
        <v>21.584528469713231</v>
      </c>
      <c r="G33" s="105">
        <v>32.376792704569844</v>
      </c>
      <c r="H33" s="105">
        <v>53.961321174283079</v>
      </c>
      <c r="I33" s="105">
        <v>64.753585409139689</v>
      </c>
      <c r="J33" s="105">
        <v>64.753585409139689</v>
      </c>
      <c r="K33" s="105">
        <v>32.376792704569844</v>
      </c>
      <c r="L33" s="105">
        <v>21.584528469713231</v>
      </c>
      <c r="M33" s="105">
        <v>10.792264234856615</v>
      </c>
      <c r="N33" s="105">
        <v>43.169056939426461</v>
      </c>
      <c r="O33" s="106">
        <v>431.69056939426457</v>
      </c>
    </row>
    <row r="34" spans="1:15" x14ac:dyDescent="0.2">
      <c r="A34" s="229"/>
      <c r="B34" s="107" t="s">
        <v>25</v>
      </c>
      <c r="C34" s="239">
        <v>-30.570590271069847</v>
      </c>
      <c r="D34" s="240">
        <v>-20.380393514046563</v>
      </c>
      <c r="E34" s="240">
        <v>-30.570590271069847</v>
      </c>
      <c r="F34" s="240">
        <v>-20.380393514046563</v>
      </c>
      <c r="G34" s="240">
        <v>-30.570590271069847</v>
      </c>
      <c r="H34" s="240">
        <v>-50.950983785116399</v>
      </c>
      <c r="I34" s="240">
        <v>-61.141180542139693</v>
      </c>
      <c r="J34" s="240">
        <v>-61.141180542139693</v>
      </c>
      <c r="K34" s="240">
        <v>-30.570590271069847</v>
      </c>
      <c r="L34" s="240">
        <v>-20.380393514046563</v>
      </c>
      <c r="M34" s="240">
        <v>-10.190196757023282</v>
      </c>
      <c r="N34" s="240">
        <v>-40.760787028093127</v>
      </c>
      <c r="O34" s="241">
        <v>-407.60787028093119</v>
      </c>
    </row>
    <row r="35" spans="1:15" x14ac:dyDescent="0.2">
      <c r="A35" s="229"/>
      <c r="B35" s="107" t="s">
        <v>26</v>
      </c>
      <c r="C35" s="239">
        <v>-1.6693712168449921</v>
      </c>
      <c r="D35" s="240">
        <v>-1.1129141445633284</v>
      </c>
      <c r="E35" s="240">
        <v>-1.6693712168449921</v>
      </c>
      <c r="F35" s="240">
        <v>-1.1129141445633284</v>
      </c>
      <c r="G35" s="240">
        <v>-1.6693712168449921</v>
      </c>
      <c r="H35" s="240">
        <v>-2.7822853614083205</v>
      </c>
      <c r="I35" s="240">
        <v>-3.3387424336899842</v>
      </c>
      <c r="J35" s="240">
        <v>-3.3387424336899842</v>
      </c>
      <c r="K35" s="240">
        <v>-1.6693712168449921</v>
      </c>
      <c r="L35" s="240">
        <v>-1.1129141445633284</v>
      </c>
      <c r="M35" s="240">
        <v>-0.55645707228166419</v>
      </c>
      <c r="N35" s="240">
        <v>-2.2258282891266568</v>
      </c>
      <c r="O35" s="241">
        <v>-22.25828289126656</v>
      </c>
    </row>
    <row r="36" spans="1:15" x14ac:dyDescent="0.2">
      <c r="A36" s="229"/>
      <c r="B36" s="107" t="s">
        <v>27</v>
      </c>
      <c r="C36" s="239">
        <v>-32.23996148791484</v>
      </c>
      <c r="D36" s="240">
        <v>-21.493307658609893</v>
      </c>
      <c r="E36" s="240">
        <v>-32.23996148791484</v>
      </c>
      <c r="F36" s="240">
        <v>-21.493307658609893</v>
      </c>
      <c r="G36" s="240">
        <v>-32.23996148791484</v>
      </c>
      <c r="H36" s="240">
        <v>-53.733269146524719</v>
      </c>
      <c r="I36" s="240">
        <v>-64.47992297582968</v>
      </c>
      <c r="J36" s="240">
        <v>-64.47992297582968</v>
      </c>
      <c r="K36" s="240">
        <v>-32.23996148791484</v>
      </c>
      <c r="L36" s="240">
        <v>-21.493307658609893</v>
      </c>
      <c r="M36" s="240">
        <v>-10.746653829304947</v>
      </c>
      <c r="N36" s="240">
        <v>-42.986615317219787</v>
      </c>
      <c r="O36" s="241">
        <v>-429.86615317219793</v>
      </c>
    </row>
    <row r="37" spans="1:15" x14ac:dyDescent="0.2">
      <c r="A37" s="229"/>
      <c r="B37" s="107" t="s">
        <v>48</v>
      </c>
      <c r="C37" s="108">
        <v>62.947382975639691</v>
      </c>
      <c r="D37" s="96">
        <v>41.964921983759794</v>
      </c>
      <c r="E37" s="96">
        <v>62.947382975639691</v>
      </c>
      <c r="F37" s="96">
        <v>41.964921983759794</v>
      </c>
      <c r="G37" s="96">
        <v>62.947382975639691</v>
      </c>
      <c r="H37" s="96">
        <v>104.91230495939948</v>
      </c>
      <c r="I37" s="96">
        <v>125.89476595127938</v>
      </c>
      <c r="J37" s="96">
        <v>125.89476595127938</v>
      </c>
      <c r="K37" s="96">
        <v>62.947382975639691</v>
      </c>
      <c r="L37" s="96">
        <v>41.964921983759794</v>
      </c>
      <c r="M37" s="96">
        <v>20.982460991879897</v>
      </c>
      <c r="N37" s="96">
        <v>83.929843967519588</v>
      </c>
      <c r="O37" s="109">
        <v>839.29843967519582</v>
      </c>
    </row>
    <row r="38" spans="1:15" x14ac:dyDescent="0.2">
      <c r="A38" s="229"/>
      <c r="B38" s="107" t="s">
        <v>86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">
      <c r="A39" s="229"/>
      <c r="B39" s="107" t="s">
        <v>88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">
      <c r="A40" s="97" t="s">
        <v>19</v>
      </c>
      <c r="B40" s="97" t="s">
        <v>69</v>
      </c>
      <c r="C40" s="104">
        <v>453.27509786397786</v>
      </c>
      <c r="D40" s="105">
        <v>464.06736209883445</v>
      </c>
      <c r="E40" s="105">
        <v>453.27509786397786</v>
      </c>
      <c r="F40" s="105">
        <v>561.19774021254398</v>
      </c>
      <c r="G40" s="105">
        <v>561.19774021254398</v>
      </c>
      <c r="H40" s="105">
        <v>604.36679715197045</v>
      </c>
      <c r="I40" s="105">
        <v>625.95132562168374</v>
      </c>
      <c r="J40" s="105">
        <v>647.53585409139691</v>
      </c>
      <c r="K40" s="105">
        <v>625.95132562168374</v>
      </c>
      <c r="L40" s="105">
        <v>604.36679715197045</v>
      </c>
      <c r="M40" s="105">
        <v>636.74358985654032</v>
      </c>
      <c r="N40" s="105">
        <v>625.95132562168374</v>
      </c>
      <c r="O40" s="106">
        <v>6863.8800533688081</v>
      </c>
    </row>
    <row r="41" spans="1:15" x14ac:dyDescent="0.2">
      <c r="A41" s="229"/>
      <c r="B41" s="107" t="s">
        <v>25</v>
      </c>
      <c r="C41" s="239">
        <v>-427.9882637949778</v>
      </c>
      <c r="D41" s="240">
        <v>-438.17846055200107</v>
      </c>
      <c r="E41" s="240">
        <v>-427.9882637949778</v>
      </c>
      <c r="F41" s="240">
        <v>-529.89023136521064</v>
      </c>
      <c r="G41" s="240">
        <v>-529.89023136521064</v>
      </c>
      <c r="H41" s="240">
        <v>-570.65101839330384</v>
      </c>
      <c r="I41" s="240">
        <v>-591.03141190735028</v>
      </c>
      <c r="J41" s="240">
        <v>-611.41180542139682</v>
      </c>
      <c r="K41" s="240">
        <v>-591.03141190735028</v>
      </c>
      <c r="L41" s="240">
        <v>-570.65101839330384</v>
      </c>
      <c r="M41" s="240">
        <v>-601.22160866437355</v>
      </c>
      <c r="N41" s="240">
        <v>-591.03141190735028</v>
      </c>
      <c r="O41" s="241">
        <v>-6480.9651374668074</v>
      </c>
    </row>
    <row r="42" spans="1:15" x14ac:dyDescent="0.2">
      <c r="A42" s="229"/>
      <c r="B42" s="107" t="s">
        <v>26</v>
      </c>
      <c r="C42" s="239">
        <v>-23.371197035829891</v>
      </c>
      <c r="D42" s="240">
        <v>-23.927654108111557</v>
      </c>
      <c r="E42" s="240">
        <v>-23.371197035829891</v>
      </c>
      <c r="F42" s="240">
        <v>-28.935767758646531</v>
      </c>
      <c r="G42" s="240">
        <v>-28.935767758646531</v>
      </c>
      <c r="H42" s="240">
        <v>-31.161596047773187</v>
      </c>
      <c r="I42" s="240">
        <v>-32.274510192336521</v>
      </c>
      <c r="J42" s="240">
        <v>-33.387424336899841</v>
      </c>
      <c r="K42" s="240">
        <v>-32.274510192336521</v>
      </c>
      <c r="L42" s="240">
        <v>-31.161596047773187</v>
      </c>
      <c r="M42" s="240">
        <v>-32.830967264618181</v>
      </c>
      <c r="N42" s="240">
        <v>-32.274510192336521</v>
      </c>
      <c r="O42" s="241">
        <v>-353.90669797113833</v>
      </c>
    </row>
    <row r="43" spans="1:15" x14ac:dyDescent="0.2">
      <c r="A43" s="229"/>
      <c r="B43" s="107" t="s">
        <v>27</v>
      </c>
      <c r="C43" s="239">
        <v>-451.35946083080768</v>
      </c>
      <c r="D43" s="240">
        <v>-462.10611466011261</v>
      </c>
      <c r="E43" s="240">
        <v>-451.35946083080768</v>
      </c>
      <c r="F43" s="240">
        <v>-558.82599912385717</v>
      </c>
      <c r="G43" s="240">
        <v>-558.82599912385717</v>
      </c>
      <c r="H43" s="240">
        <v>-601.81261444107702</v>
      </c>
      <c r="I43" s="240">
        <v>-623.30592209968677</v>
      </c>
      <c r="J43" s="240">
        <v>-644.79922975829663</v>
      </c>
      <c r="K43" s="240">
        <v>-623.30592209968677</v>
      </c>
      <c r="L43" s="240">
        <v>-601.81261444107702</v>
      </c>
      <c r="M43" s="240">
        <v>-634.0525759289917</v>
      </c>
      <c r="N43" s="240">
        <v>-623.30592209968677</v>
      </c>
      <c r="O43" s="241">
        <v>-6834.8718354379444</v>
      </c>
    </row>
    <row r="44" spans="1:15" x14ac:dyDescent="0.2">
      <c r="A44" s="229"/>
      <c r="B44" s="107" t="s">
        <v>48</v>
      </c>
      <c r="C44" s="108">
        <v>881.26336165895566</v>
      </c>
      <c r="D44" s="96">
        <v>902.24582265083552</v>
      </c>
      <c r="E44" s="96">
        <v>881.26336165895566</v>
      </c>
      <c r="F44" s="96">
        <v>1091.0879715777546</v>
      </c>
      <c r="G44" s="96">
        <v>1091.0879715777546</v>
      </c>
      <c r="H44" s="96">
        <v>1175.0178155452743</v>
      </c>
      <c r="I44" s="96">
        <v>1216.982737529034</v>
      </c>
      <c r="J44" s="96">
        <v>1258.9476595127937</v>
      </c>
      <c r="K44" s="96">
        <v>1216.982737529034</v>
      </c>
      <c r="L44" s="96">
        <v>1175.0178155452743</v>
      </c>
      <c r="M44" s="96">
        <v>1237.9651985209139</v>
      </c>
      <c r="N44" s="96">
        <v>1216.982737529034</v>
      </c>
      <c r="O44" s="109">
        <v>13344.845190835611</v>
      </c>
    </row>
    <row r="45" spans="1:15" x14ac:dyDescent="0.2">
      <c r="A45" s="229"/>
      <c r="B45" s="107" t="s">
        <v>86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">
      <c r="A46" s="229"/>
      <c r="B46" s="107" t="s">
        <v>88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">
      <c r="A47" s="97" t="s">
        <v>8</v>
      </c>
      <c r="B47" s="97" t="s">
        <v>69</v>
      </c>
      <c r="C47" s="104">
        <v>992.88830960680866</v>
      </c>
      <c r="D47" s="105">
        <v>949.71925266738219</v>
      </c>
      <c r="E47" s="105">
        <v>766.25076067481973</v>
      </c>
      <c r="F47" s="105">
        <v>820.21208184910279</v>
      </c>
      <c r="G47" s="105">
        <v>1446.1634074707865</v>
      </c>
      <c r="H47" s="105">
        <v>1564.8783140542091</v>
      </c>
      <c r="I47" s="105">
        <v>1737.554541811915</v>
      </c>
      <c r="J47" s="105">
        <v>1662.0086921679188</v>
      </c>
      <c r="K47" s="105">
        <v>1424.5788790010731</v>
      </c>
      <c r="L47" s="105">
        <v>982.09604537195196</v>
      </c>
      <c r="M47" s="105">
        <v>723.08170373539326</v>
      </c>
      <c r="N47" s="105">
        <v>1036.057366546235</v>
      </c>
      <c r="O47" s="106">
        <v>14105.489354957597</v>
      </c>
    </row>
    <row r="48" spans="1:15" x14ac:dyDescent="0.2">
      <c r="A48" s="229"/>
      <c r="B48" s="107" t="s">
        <v>25</v>
      </c>
      <c r="C48" s="239">
        <v>-937.49810164614178</v>
      </c>
      <c r="D48" s="240">
        <v>-896.7373146180488</v>
      </c>
      <c r="E48" s="240">
        <v>-723.50396974865293</v>
      </c>
      <c r="F48" s="240">
        <v>-774.45495353376941</v>
      </c>
      <c r="G48" s="240">
        <v>-1365.4863654411195</v>
      </c>
      <c r="H48" s="240">
        <v>-1477.578529768376</v>
      </c>
      <c r="I48" s="240">
        <v>-1640.6216778807484</v>
      </c>
      <c r="J48" s="240">
        <v>-1569.2903005815854</v>
      </c>
      <c r="K48" s="240">
        <v>-1345.1059719270731</v>
      </c>
      <c r="L48" s="240">
        <v>-927.30790488911862</v>
      </c>
      <c r="M48" s="240">
        <v>-682.74318272055973</v>
      </c>
      <c r="N48" s="240">
        <v>-978.2588886742351</v>
      </c>
      <c r="O48" s="241">
        <v>-13318.58716142943</v>
      </c>
    </row>
    <row r="49" spans="1:15" x14ac:dyDescent="0.2">
      <c r="A49" s="229"/>
      <c r="B49" s="107" t="s">
        <v>26</v>
      </c>
      <c r="C49" s="239">
        <v>-51.194050649913095</v>
      </c>
      <c r="D49" s="240">
        <v>-48.968222360786442</v>
      </c>
      <c r="E49" s="240">
        <v>-39.508452131998148</v>
      </c>
      <c r="F49" s="240">
        <v>-42.290737493406475</v>
      </c>
      <c r="G49" s="240">
        <v>-74.565247685742989</v>
      </c>
      <c r="H49" s="240">
        <v>-80.686275480841289</v>
      </c>
      <c r="I49" s="240">
        <v>-89.589588637347916</v>
      </c>
      <c r="J49" s="240">
        <v>-85.694389131376269</v>
      </c>
      <c r="K49" s="240">
        <v>-73.452333541179655</v>
      </c>
      <c r="L49" s="240">
        <v>-50.637593577631428</v>
      </c>
      <c r="M49" s="240">
        <v>-37.282623842871494</v>
      </c>
      <c r="N49" s="240">
        <v>-53.419878939039748</v>
      </c>
      <c r="O49" s="241">
        <v>-727.28939347213498</v>
      </c>
    </row>
    <row r="50" spans="1:15" x14ac:dyDescent="0.2">
      <c r="A50" s="229"/>
      <c r="B50" s="107" t="s">
        <v>27</v>
      </c>
      <c r="C50" s="239">
        <v>-988.69215229605493</v>
      </c>
      <c r="D50" s="240">
        <v>-945.7055369788352</v>
      </c>
      <c r="E50" s="240">
        <v>-763.01242188065112</v>
      </c>
      <c r="F50" s="240">
        <v>-816.74569102717589</v>
      </c>
      <c r="G50" s="240">
        <v>-1440.0516131268625</v>
      </c>
      <c r="H50" s="240">
        <v>-1558.2648052492173</v>
      </c>
      <c r="I50" s="240">
        <v>-1730.2112665180964</v>
      </c>
      <c r="J50" s="240">
        <v>-1654.9846897129617</v>
      </c>
      <c r="K50" s="240">
        <v>-1418.5583054682529</v>
      </c>
      <c r="L50" s="240">
        <v>-977.94549846675</v>
      </c>
      <c r="M50" s="240">
        <v>-720.02580656343127</v>
      </c>
      <c r="N50" s="240">
        <v>-1031.6787676132749</v>
      </c>
      <c r="O50" s="241">
        <v>-14045.876554901562</v>
      </c>
    </row>
    <row r="51" spans="1:15" x14ac:dyDescent="0.2">
      <c r="A51" s="229"/>
      <c r="B51" s="107" t="s">
        <v>48</v>
      </c>
      <c r="C51" s="108">
        <v>1930.3864112529504</v>
      </c>
      <c r="D51" s="96">
        <v>1846.456567285431</v>
      </c>
      <c r="E51" s="96">
        <v>1489.7547304234727</v>
      </c>
      <c r="F51" s="96">
        <v>1594.6670353828722</v>
      </c>
      <c r="G51" s="96">
        <v>2811.649772911906</v>
      </c>
      <c r="H51" s="96">
        <v>3042.4568438225851</v>
      </c>
      <c r="I51" s="96">
        <v>3378.1762196926634</v>
      </c>
      <c r="J51" s="96">
        <v>3231.2989927495041</v>
      </c>
      <c r="K51" s="96">
        <v>2769.6848509281463</v>
      </c>
      <c r="L51" s="96">
        <v>1909.4039502610706</v>
      </c>
      <c r="M51" s="96">
        <v>1405.824886455953</v>
      </c>
      <c r="N51" s="96">
        <v>2014.3162552204701</v>
      </c>
      <c r="O51" s="109">
        <v>27424.076516387027</v>
      </c>
    </row>
    <row r="52" spans="1:15" x14ac:dyDescent="0.2">
      <c r="A52" s="229"/>
      <c r="B52" s="107" t="s">
        <v>86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">
      <c r="A53" s="229"/>
      <c r="B53" s="107" t="s">
        <v>88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">
      <c r="A54" s="97" t="s">
        <v>21</v>
      </c>
      <c r="B54" s="97" t="s">
        <v>69</v>
      </c>
      <c r="C54" s="104">
        <v>31286.774016849329</v>
      </c>
      <c r="D54" s="105">
        <v>29775.857023969402</v>
      </c>
      <c r="E54" s="105">
        <v>26441.047375398706</v>
      </c>
      <c r="F54" s="105">
        <v>25847.472842481595</v>
      </c>
      <c r="G54" s="105">
        <v>37578.664065770732</v>
      </c>
      <c r="H54" s="105">
        <v>43233.810524835601</v>
      </c>
      <c r="I54" s="105">
        <v>45651.27771344348</v>
      </c>
      <c r="J54" s="105">
        <v>44798.688838889808</v>
      </c>
      <c r="K54" s="105">
        <v>42068.245987471084</v>
      </c>
      <c r="L54" s="105">
        <v>29786.649288204258</v>
      </c>
      <c r="M54" s="105">
        <v>27638.988705467793</v>
      </c>
      <c r="N54" s="105">
        <v>33995.632339798336</v>
      </c>
      <c r="O54" s="106">
        <v>418103.10872258007</v>
      </c>
    </row>
    <row r="55" spans="1:15" x14ac:dyDescent="0.2">
      <c r="A55" s="229"/>
      <c r="B55" s="107" t="s">
        <v>25</v>
      </c>
      <c r="C55" s="239">
        <v>-29541.380398610494</v>
      </c>
      <c r="D55" s="240">
        <v>-28114.752852627236</v>
      </c>
      <c r="E55" s="240">
        <v>-24965.982054707045</v>
      </c>
      <c r="F55" s="240">
        <v>-24405.521233070762</v>
      </c>
      <c r="G55" s="240">
        <v>-35482.265107955071</v>
      </c>
      <c r="H55" s="240">
        <v>-40821.928208635261</v>
      </c>
      <c r="I55" s="240">
        <v>-43104.532282208478</v>
      </c>
      <c r="J55" s="240">
        <v>-42299.506738403637</v>
      </c>
      <c r="K55" s="240">
        <v>-39721.386958876748</v>
      </c>
      <c r="L55" s="240">
        <v>-28124.943049384259</v>
      </c>
      <c r="M55" s="240">
        <v>-26097.093894736627</v>
      </c>
      <c r="N55" s="240">
        <v>-32099.119784623341</v>
      </c>
      <c r="O55" s="241">
        <v>-394778.41256383894</v>
      </c>
    </row>
    <row r="56" spans="1:15" x14ac:dyDescent="0.2">
      <c r="A56" s="229"/>
      <c r="B56" s="107" t="s">
        <v>26</v>
      </c>
      <c r="C56" s="239">
        <v>-1613.1690525445442</v>
      </c>
      <c r="D56" s="240">
        <v>-1535.2650624251112</v>
      </c>
      <c r="E56" s="240">
        <v>-1363.3198270900771</v>
      </c>
      <c r="F56" s="240">
        <v>-1332.7146881145854</v>
      </c>
      <c r="G56" s="240">
        <v>-1937.5835256847545</v>
      </c>
      <c r="H56" s="240">
        <v>-2229.1670315603465</v>
      </c>
      <c r="I56" s="240">
        <v>-2353.8134157514392</v>
      </c>
      <c r="J56" s="240">
        <v>-2309.8533070411877</v>
      </c>
      <c r="K56" s="240">
        <v>-2169.0696677539268</v>
      </c>
      <c r="L56" s="240">
        <v>-1535.821519497393</v>
      </c>
      <c r="M56" s="240">
        <v>-1425.0865621133416</v>
      </c>
      <c r="N56" s="240">
        <v>-1752.8397776872418</v>
      </c>
      <c r="O56" s="241">
        <v>-21557.70343726395</v>
      </c>
    </row>
    <row r="57" spans="1:15" x14ac:dyDescent="0.2">
      <c r="A57" s="229"/>
      <c r="B57" s="107" t="s">
        <v>27</v>
      </c>
      <c r="C57" s="239">
        <v>-31154.549451155039</v>
      </c>
      <c r="D57" s="240">
        <v>-29650.017915052347</v>
      </c>
      <c r="E57" s="240">
        <v>-26329.301881797121</v>
      </c>
      <c r="F57" s="240">
        <v>-25738.235921185347</v>
      </c>
      <c r="G57" s="240">
        <v>-37419.848633639827</v>
      </c>
      <c r="H57" s="240">
        <v>-43051.095240195609</v>
      </c>
      <c r="I57" s="240">
        <v>-45458.345697959914</v>
      </c>
      <c r="J57" s="240">
        <v>-44609.360045444824</v>
      </c>
      <c r="K57" s="240">
        <v>-41890.456626630672</v>
      </c>
      <c r="L57" s="240">
        <v>-29660.764568881652</v>
      </c>
      <c r="M57" s="240">
        <v>-27522.180456849968</v>
      </c>
      <c r="N57" s="240">
        <v>-33851.959562310585</v>
      </c>
      <c r="O57" s="241">
        <v>-416336.1160011029</v>
      </c>
    </row>
    <row r="58" spans="1:15" x14ac:dyDescent="0.2">
      <c r="A58" s="229"/>
      <c r="B58" s="107" t="s">
        <v>48</v>
      </c>
      <c r="C58" s="108">
        <v>60828.154415459823</v>
      </c>
      <c r="D58" s="96">
        <v>57890.609876596638</v>
      </c>
      <c r="E58" s="96">
        <v>51407.029430105751</v>
      </c>
      <c r="F58" s="96">
        <v>50252.994075552357</v>
      </c>
      <c r="G58" s="96">
        <v>73060.929173725803</v>
      </c>
      <c r="H58" s="96">
        <v>84055.738733470862</v>
      </c>
      <c r="I58" s="96">
        <v>88755.809995651958</v>
      </c>
      <c r="J58" s="96">
        <v>87098.195577293445</v>
      </c>
      <c r="K58" s="96">
        <v>81789.632946347832</v>
      </c>
      <c r="L58" s="96">
        <v>57911.592337588518</v>
      </c>
      <c r="M58" s="96">
        <v>53736.08260020442</v>
      </c>
      <c r="N58" s="96">
        <v>66094.752124421677</v>
      </c>
      <c r="O58" s="109">
        <v>812881.52128641901</v>
      </c>
    </row>
    <row r="59" spans="1:15" x14ac:dyDescent="0.2">
      <c r="A59" s="229"/>
      <c r="B59" s="107" t="s">
        <v>86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">
      <c r="A60" s="229"/>
      <c r="B60" s="107" t="s">
        <v>88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">
      <c r="A61" s="97" t="s">
        <v>22</v>
      </c>
      <c r="B61" s="97" t="s">
        <v>69</v>
      </c>
      <c r="C61" s="104">
        <v>31524.203830016173</v>
      </c>
      <c r="D61" s="105">
        <v>30790.329862045925</v>
      </c>
      <c r="E61" s="105">
        <v>27628.196441232936</v>
      </c>
      <c r="F61" s="105">
        <v>26268.371147641003</v>
      </c>
      <c r="G61" s="105">
        <v>33639.487620048072</v>
      </c>
      <c r="H61" s="105">
        <v>38161.446334452994</v>
      </c>
      <c r="I61" s="105">
        <v>39888.208612030052</v>
      </c>
      <c r="J61" s="105">
        <v>39197.50370099923</v>
      </c>
      <c r="K61" s="105">
        <v>36013.785751716525</v>
      </c>
      <c r="L61" s="105">
        <v>26937.491530202111</v>
      </c>
      <c r="M61" s="105">
        <v>27174.921343368958</v>
      </c>
      <c r="N61" s="105">
        <v>36682.906134277633</v>
      </c>
      <c r="O61" s="106">
        <v>393906.85230803158</v>
      </c>
    </row>
    <row r="62" spans="1:15" x14ac:dyDescent="0.2">
      <c r="A62" s="229"/>
      <c r="B62" s="107" t="s">
        <v>25</v>
      </c>
      <c r="C62" s="239">
        <v>-29765.564727265009</v>
      </c>
      <c r="D62" s="240">
        <v>-29072.631347787421</v>
      </c>
      <c r="E62" s="240">
        <v>-26086.903697979596</v>
      </c>
      <c r="F62" s="240">
        <v>-24802.938906594667</v>
      </c>
      <c r="G62" s="240">
        <v>-31762.84329164157</v>
      </c>
      <c r="H62" s="240">
        <v>-36032.535732834323</v>
      </c>
      <c r="I62" s="240">
        <v>-37662.967213958051</v>
      </c>
      <c r="J62" s="240">
        <v>-37010.794621508561</v>
      </c>
      <c r="K62" s="240">
        <v>-34004.686578186695</v>
      </c>
      <c r="L62" s="240">
        <v>-25434.731105530111</v>
      </c>
      <c r="M62" s="240">
        <v>-25658.915434184622</v>
      </c>
      <c r="N62" s="240">
        <v>-34636.478777122138</v>
      </c>
      <c r="O62" s="241">
        <v>-371931.99143459275</v>
      </c>
    </row>
    <row r="63" spans="1:15" x14ac:dyDescent="0.2">
      <c r="A63" s="229"/>
      <c r="B63" s="107" t="s">
        <v>26</v>
      </c>
      <c r="C63" s="239">
        <v>-1625.4111081347407</v>
      </c>
      <c r="D63" s="240">
        <v>-1587.5720272195877</v>
      </c>
      <c r="E63" s="240">
        <v>-1424.5301050410601</v>
      </c>
      <c r="F63" s="240">
        <v>-1354.4165139335705</v>
      </c>
      <c r="G63" s="240">
        <v>-1734.476694301947</v>
      </c>
      <c r="H63" s="240">
        <v>-1967.6322075879643</v>
      </c>
      <c r="I63" s="240">
        <v>-2056.6653391530308</v>
      </c>
      <c r="J63" s="240">
        <v>-2021.0520865270041</v>
      </c>
      <c r="K63" s="240">
        <v>-1856.897250203913</v>
      </c>
      <c r="L63" s="240">
        <v>-1388.9168524150334</v>
      </c>
      <c r="M63" s="240">
        <v>-1401.1589080052302</v>
      </c>
      <c r="N63" s="240">
        <v>-1891.3975886853761</v>
      </c>
      <c r="O63" s="241">
        <v>-20310.126681208458</v>
      </c>
    </row>
    <row r="64" spans="1:15" x14ac:dyDescent="0.2">
      <c r="A64" s="229"/>
      <c r="B64" s="107" t="s">
        <v>27</v>
      </c>
      <c r="C64" s="239">
        <v>-31390.975835399749</v>
      </c>
      <c r="D64" s="240">
        <v>-30660.203375007008</v>
      </c>
      <c r="E64" s="240">
        <v>-27511.433803020656</v>
      </c>
      <c r="F64" s="240">
        <v>-26157.355420528238</v>
      </c>
      <c r="G64" s="240">
        <v>-33497.319985943519</v>
      </c>
      <c r="H64" s="240">
        <v>-38000.167940422289</v>
      </c>
      <c r="I64" s="240">
        <v>-39719.632553111078</v>
      </c>
      <c r="J64" s="240">
        <v>-39031.846708035562</v>
      </c>
      <c r="K64" s="240">
        <v>-35861.583828390605</v>
      </c>
      <c r="L64" s="240">
        <v>-26823.647957945144</v>
      </c>
      <c r="M64" s="240">
        <v>-27060.074342189851</v>
      </c>
      <c r="N64" s="240">
        <v>-36527.876365807511</v>
      </c>
      <c r="O64" s="241">
        <v>-392242.11811580113</v>
      </c>
    </row>
    <row r="65" spans="1:15" x14ac:dyDescent="0.2">
      <c r="A65" s="229"/>
      <c r="B65" s="107" t="s">
        <v>48</v>
      </c>
      <c r="C65" s="108">
        <v>61289.768557281182</v>
      </c>
      <c r="D65" s="96">
        <v>59862.961209833345</v>
      </c>
      <c r="E65" s="96">
        <v>53715.100139212533</v>
      </c>
      <c r="F65" s="96">
        <v>51071.31005423567</v>
      </c>
      <c r="G65" s="96">
        <v>65402.330911689642</v>
      </c>
      <c r="H65" s="96">
        <v>74193.982067287317</v>
      </c>
      <c r="I65" s="96">
        <v>77551.175825988103</v>
      </c>
      <c r="J65" s="96">
        <v>76208.298322507791</v>
      </c>
      <c r="K65" s="96">
        <v>70018.472329903219</v>
      </c>
      <c r="L65" s="96">
        <v>52372.222635732222</v>
      </c>
      <c r="M65" s="96">
        <v>52833.836777553581</v>
      </c>
      <c r="N65" s="96">
        <v>71319.384911399771</v>
      </c>
      <c r="O65" s="109">
        <v>765838.84374262451</v>
      </c>
    </row>
    <row r="66" spans="1:15" x14ac:dyDescent="0.2">
      <c r="A66" s="229"/>
      <c r="B66" s="107" t="s">
        <v>86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">
      <c r="A67" s="229"/>
      <c r="B67" s="107" t="s">
        <v>88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">
      <c r="A68" s="97" t="s">
        <v>9</v>
      </c>
      <c r="B68" s="97" t="s">
        <v>69</v>
      </c>
      <c r="C68" s="104">
        <v>539.6132117428308</v>
      </c>
      <c r="D68" s="105">
        <v>528.8209475079741</v>
      </c>
      <c r="E68" s="105">
        <v>485.65189056854769</v>
      </c>
      <c r="F68" s="105">
        <v>366.93698398512493</v>
      </c>
      <c r="G68" s="105">
        <v>453.27509786397786</v>
      </c>
      <c r="H68" s="105">
        <v>528.8209475079741</v>
      </c>
      <c r="I68" s="105">
        <v>582.78226868225727</v>
      </c>
      <c r="J68" s="105">
        <v>507.23641903826092</v>
      </c>
      <c r="K68" s="105">
        <v>507.23641903826092</v>
      </c>
      <c r="L68" s="105">
        <v>420.89830515940798</v>
      </c>
      <c r="M68" s="105">
        <v>485.65189056854769</v>
      </c>
      <c r="N68" s="105">
        <v>658.3281183262535</v>
      </c>
      <c r="O68" s="106">
        <v>6065.2524999894176</v>
      </c>
    </row>
    <row r="69" spans="1:15" x14ac:dyDescent="0.2">
      <c r="A69" s="229"/>
      <c r="B69" s="107" t="s">
        <v>25</v>
      </c>
      <c r="C69" s="239">
        <v>-509.50983785116409</v>
      </c>
      <c r="D69" s="240">
        <v>-499.31964109414093</v>
      </c>
      <c r="E69" s="240">
        <v>-458.55885406604767</v>
      </c>
      <c r="F69" s="240">
        <v>-346.46668973879162</v>
      </c>
      <c r="G69" s="240">
        <v>-427.9882637949778</v>
      </c>
      <c r="H69" s="240">
        <v>-499.31964109414093</v>
      </c>
      <c r="I69" s="240">
        <v>-550.27062487925707</v>
      </c>
      <c r="J69" s="240">
        <v>-478.93924758009427</v>
      </c>
      <c r="K69" s="240">
        <v>-478.93924758009427</v>
      </c>
      <c r="L69" s="240">
        <v>-397.41767352390798</v>
      </c>
      <c r="M69" s="240">
        <v>-458.55885406604767</v>
      </c>
      <c r="N69" s="240">
        <v>-621.60200217842032</v>
      </c>
      <c r="O69" s="241">
        <v>-5726.8905774470841</v>
      </c>
    </row>
    <row r="70" spans="1:15" x14ac:dyDescent="0.2">
      <c r="A70" s="229"/>
      <c r="B70" s="107" t="s">
        <v>26</v>
      </c>
      <c r="C70" s="239">
        <v>-27.822853614083204</v>
      </c>
      <c r="D70" s="240">
        <v>-27.266396541801541</v>
      </c>
      <c r="E70" s="240">
        <v>-25.040568252674884</v>
      </c>
      <c r="F70" s="240">
        <v>-18.919540457576581</v>
      </c>
      <c r="G70" s="240">
        <v>-23.371197035829891</v>
      </c>
      <c r="H70" s="240">
        <v>-27.266396541801541</v>
      </c>
      <c r="I70" s="240">
        <v>-30.048681903209861</v>
      </c>
      <c r="J70" s="240">
        <v>-26.153482397238214</v>
      </c>
      <c r="K70" s="240">
        <v>-26.153482397238214</v>
      </c>
      <c r="L70" s="240">
        <v>-21.701825818984897</v>
      </c>
      <c r="M70" s="240">
        <v>-25.040568252674884</v>
      </c>
      <c r="N70" s="240">
        <v>-33.943881409181508</v>
      </c>
      <c r="O70" s="241">
        <v>-312.72887462229522</v>
      </c>
    </row>
    <row r="71" spans="1:15" x14ac:dyDescent="0.2">
      <c r="A71" s="229"/>
      <c r="B71" s="107" t="s">
        <v>27</v>
      </c>
      <c r="C71" s="239">
        <v>-537.33269146524731</v>
      </c>
      <c r="D71" s="240">
        <v>-526.58603763594249</v>
      </c>
      <c r="E71" s="240">
        <v>-483.59942231872253</v>
      </c>
      <c r="F71" s="240">
        <v>-365.38623019636822</v>
      </c>
      <c r="G71" s="240">
        <v>-451.35946083080768</v>
      </c>
      <c r="H71" s="240">
        <v>-526.58603763594249</v>
      </c>
      <c r="I71" s="240">
        <v>-580.31930678246692</v>
      </c>
      <c r="J71" s="240">
        <v>-505.09272997733251</v>
      </c>
      <c r="K71" s="240">
        <v>-505.09272997733251</v>
      </c>
      <c r="L71" s="240">
        <v>-419.11949934289288</v>
      </c>
      <c r="M71" s="240">
        <v>-483.59942231872253</v>
      </c>
      <c r="N71" s="240">
        <v>-655.54588358760179</v>
      </c>
      <c r="O71" s="241">
        <v>-6039.6194520693789</v>
      </c>
    </row>
    <row r="72" spans="1:15" x14ac:dyDescent="0.2">
      <c r="A72" s="229"/>
      <c r="B72" s="107" t="s">
        <v>48</v>
      </c>
      <c r="C72" s="108">
        <v>1049.1230495939949</v>
      </c>
      <c r="D72" s="96">
        <v>1028.140588602115</v>
      </c>
      <c r="E72" s="96">
        <v>944.21074463459536</v>
      </c>
      <c r="F72" s="96">
        <v>713.40367372391654</v>
      </c>
      <c r="G72" s="96">
        <v>881.26336165895566</v>
      </c>
      <c r="H72" s="96">
        <v>1028.140588602115</v>
      </c>
      <c r="I72" s="96">
        <v>1133.0528935615143</v>
      </c>
      <c r="J72" s="96">
        <v>986.17566661835519</v>
      </c>
      <c r="K72" s="96">
        <v>986.17566661835519</v>
      </c>
      <c r="L72" s="96">
        <v>818.31597868331596</v>
      </c>
      <c r="M72" s="96">
        <v>944.21074463459536</v>
      </c>
      <c r="N72" s="96">
        <v>1279.9301205046738</v>
      </c>
      <c r="O72" s="109">
        <v>11792.143077436505</v>
      </c>
    </row>
    <row r="73" spans="1:15" x14ac:dyDescent="0.2">
      <c r="A73" s="229"/>
      <c r="B73" s="107" t="s">
        <v>86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">
      <c r="A74" s="229"/>
      <c r="B74" s="107" t="s">
        <v>88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">
      <c r="A75" s="97" t="s">
        <v>53</v>
      </c>
      <c r="B75" s="97" t="s">
        <v>69</v>
      </c>
      <c r="C75" s="104">
        <v>1305.8639724176505</v>
      </c>
      <c r="D75" s="105">
        <v>1176.356801599371</v>
      </c>
      <c r="E75" s="105">
        <v>1025.2651023113785</v>
      </c>
      <c r="F75" s="105">
        <v>1003.6805738416653</v>
      </c>
      <c r="G75" s="105">
        <v>1349.0330293570769</v>
      </c>
      <c r="H75" s="105">
        <v>1715.9700133422018</v>
      </c>
      <c r="I75" s="105">
        <v>1899.4385053347644</v>
      </c>
      <c r="J75" s="105">
        <v>1802.3081272210547</v>
      </c>
      <c r="K75" s="105">
        <v>1651.2164279330621</v>
      </c>
      <c r="L75" s="105">
        <v>1122.395480425088</v>
      </c>
      <c r="M75" s="105">
        <v>1122.395480425088</v>
      </c>
      <c r="N75" s="105">
        <v>1500.1247286450696</v>
      </c>
      <c r="O75" s="106">
        <v>16674.048242853471</v>
      </c>
    </row>
    <row r="76" spans="1:15" x14ac:dyDescent="0.2">
      <c r="A76" s="229"/>
      <c r="B76" s="107" t="s">
        <v>25</v>
      </c>
      <c r="C76" s="108">
        <v>-1233.013807599817</v>
      </c>
      <c r="D76" s="96">
        <v>-1110.7314465155378</v>
      </c>
      <c r="E76" s="96">
        <v>-968.06869191721171</v>
      </c>
      <c r="F76" s="96">
        <v>-947.68829840316528</v>
      </c>
      <c r="G76" s="96">
        <v>-1273.7745946279101</v>
      </c>
      <c r="H76" s="96">
        <v>-1620.2412843667018</v>
      </c>
      <c r="I76" s="96">
        <v>-1793.4746292360976</v>
      </c>
      <c r="J76" s="96">
        <v>-1701.7628584228883</v>
      </c>
      <c r="K76" s="96">
        <v>-1559.100103824562</v>
      </c>
      <c r="L76" s="96">
        <v>-1059.7804627304213</v>
      </c>
      <c r="M76" s="96">
        <v>-1059.7804627304213</v>
      </c>
      <c r="N76" s="96">
        <v>-1416.4373492262359</v>
      </c>
      <c r="O76" s="109">
        <v>-15743.85398960097</v>
      </c>
    </row>
    <row r="77" spans="1:15" x14ac:dyDescent="0.2">
      <c r="A77" s="229"/>
      <c r="B77" s="107" t="s">
        <v>26</v>
      </c>
      <c r="C77" s="108">
        <v>-67.331305746081355</v>
      </c>
      <c r="D77" s="96">
        <v>-60.653820878701382</v>
      </c>
      <c r="E77" s="96">
        <v>-52.863421866758095</v>
      </c>
      <c r="F77" s="96">
        <v>-51.750507722194762</v>
      </c>
      <c r="G77" s="96">
        <v>-69.557134035208009</v>
      </c>
      <c r="H77" s="96">
        <v>-88.476674492784596</v>
      </c>
      <c r="I77" s="96">
        <v>-97.936444721572883</v>
      </c>
      <c r="J77" s="96">
        <v>-92.928331071037903</v>
      </c>
      <c r="K77" s="96">
        <v>-85.137932059094609</v>
      </c>
      <c r="L77" s="96">
        <v>-57.871535517293061</v>
      </c>
      <c r="M77" s="96">
        <v>-57.871535517293061</v>
      </c>
      <c r="N77" s="96">
        <v>-77.347533047151316</v>
      </c>
      <c r="O77" s="109">
        <v>-859.72617667517102</v>
      </c>
    </row>
    <row r="78" spans="1:15" x14ac:dyDescent="0.2">
      <c r="A78" s="229"/>
      <c r="B78" s="107" t="s">
        <v>27</v>
      </c>
      <c r="C78" s="108">
        <v>-1300.3451133458984</v>
      </c>
      <c r="D78" s="96">
        <v>-1171.3852673942392</v>
      </c>
      <c r="E78" s="96">
        <v>-1020.9321137839698</v>
      </c>
      <c r="F78" s="96">
        <v>-999.43880612536009</v>
      </c>
      <c r="G78" s="96">
        <v>-1343.3317286631182</v>
      </c>
      <c r="H78" s="96">
        <v>-1708.7179588594865</v>
      </c>
      <c r="I78" s="96">
        <v>-1891.4110739576704</v>
      </c>
      <c r="J78" s="96">
        <v>-1794.6911894939262</v>
      </c>
      <c r="K78" s="96">
        <v>-1644.2380358836565</v>
      </c>
      <c r="L78" s="96">
        <v>-1117.6519982477143</v>
      </c>
      <c r="M78" s="96">
        <v>-1117.6519982477143</v>
      </c>
      <c r="N78" s="96">
        <v>-1493.7848822733872</v>
      </c>
      <c r="O78" s="109">
        <v>-16603.580166276141</v>
      </c>
    </row>
    <row r="79" spans="1:15" x14ac:dyDescent="0.2">
      <c r="A79" s="229"/>
      <c r="B79" s="107" t="s">
        <v>48</v>
      </c>
      <c r="C79" s="108">
        <v>2538.8777800174676</v>
      </c>
      <c r="D79" s="96">
        <v>2287.0882481149088</v>
      </c>
      <c r="E79" s="96">
        <v>1993.3337942285902</v>
      </c>
      <c r="F79" s="96">
        <v>1951.3688722448305</v>
      </c>
      <c r="G79" s="96">
        <v>2622.807623984987</v>
      </c>
      <c r="H79" s="96">
        <v>3336.2112977089037</v>
      </c>
      <c r="I79" s="96">
        <v>3692.913134570862</v>
      </c>
      <c r="J79" s="96">
        <v>3504.070985643943</v>
      </c>
      <c r="K79" s="96">
        <v>3210.316531757624</v>
      </c>
      <c r="L79" s="96">
        <v>2182.1759431555092</v>
      </c>
      <c r="M79" s="96">
        <v>2182.1759431555092</v>
      </c>
      <c r="N79" s="96">
        <v>2916.5620778713055</v>
      </c>
      <c r="O79" s="109">
        <v>32417.902232454442</v>
      </c>
    </row>
    <row r="80" spans="1:15" x14ac:dyDescent="0.2">
      <c r="A80" s="229"/>
      <c r="B80" s="107" t="s">
        <v>86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">
      <c r="A81" s="229"/>
      <c r="B81" s="107" t="s">
        <v>88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">
      <c r="A82" s="97" t="s">
        <v>54</v>
      </c>
      <c r="B82" s="97" t="s">
        <v>69</v>
      </c>
      <c r="C82" s="104">
        <v>86.338113878852923</v>
      </c>
      <c r="D82" s="105">
        <v>118.71490658342277</v>
      </c>
      <c r="E82" s="105">
        <v>97.13037811370954</v>
      </c>
      <c r="F82" s="105">
        <v>118.71490658342277</v>
      </c>
      <c r="G82" s="105">
        <v>118.71490658342277</v>
      </c>
      <c r="H82" s="105">
        <v>151.09169928799261</v>
      </c>
      <c r="I82" s="105">
        <v>140.29943505313599</v>
      </c>
      <c r="J82" s="105">
        <v>140.29943505313599</v>
      </c>
      <c r="K82" s="105">
        <v>140.29943505313599</v>
      </c>
      <c r="L82" s="105">
        <v>107.92264234856616</v>
      </c>
      <c r="M82" s="105">
        <v>97.13037811370954</v>
      </c>
      <c r="N82" s="105">
        <v>97.13037811370954</v>
      </c>
      <c r="O82" s="106">
        <v>1413.7866147662166</v>
      </c>
    </row>
    <row r="83" spans="1:15" x14ac:dyDescent="0.2">
      <c r="A83" s="229"/>
      <c r="B83" s="107" t="s">
        <v>25</v>
      </c>
      <c r="C83" s="108">
        <v>-81.521574056186253</v>
      </c>
      <c r="D83" s="96">
        <v>-112.0921643272561</v>
      </c>
      <c r="E83" s="96">
        <v>-91.711770813209526</v>
      </c>
      <c r="F83" s="96">
        <v>-112.0921643272561</v>
      </c>
      <c r="G83" s="96">
        <v>-112.0921643272561</v>
      </c>
      <c r="H83" s="96">
        <v>-142.66275459832596</v>
      </c>
      <c r="I83" s="96">
        <v>-132.47255784130266</v>
      </c>
      <c r="J83" s="96">
        <v>-132.47255784130266</v>
      </c>
      <c r="K83" s="96">
        <v>-132.47255784130266</v>
      </c>
      <c r="L83" s="96">
        <v>-101.9019675702328</v>
      </c>
      <c r="M83" s="96">
        <v>-91.711770813209526</v>
      </c>
      <c r="N83" s="96">
        <v>-91.711770813209526</v>
      </c>
      <c r="O83" s="109">
        <v>-1334.9157751700498</v>
      </c>
    </row>
    <row r="84" spans="1:15" x14ac:dyDescent="0.2">
      <c r="A84" s="229"/>
      <c r="B84" s="107" t="s">
        <v>26</v>
      </c>
      <c r="C84" s="108">
        <v>-4.4516565782533135</v>
      </c>
      <c r="D84" s="96">
        <v>-6.1210277950983052</v>
      </c>
      <c r="E84" s="96">
        <v>-5.0081136505349768</v>
      </c>
      <c r="F84" s="96">
        <v>-6.1210277950983052</v>
      </c>
      <c r="G84" s="96">
        <v>-6.1210277950983052</v>
      </c>
      <c r="H84" s="96">
        <v>-7.7903990119432969</v>
      </c>
      <c r="I84" s="96">
        <v>-7.2339419396616327</v>
      </c>
      <c r="J84" s="96">
        <v>-7.2339419396616327</v>
      </c>
      <c r="K84" s="96">
        <v>-7.2339419396616327</v>
      </c>
      <c r="L84" s="96">
        <v>-5.564570722816641</v>
      </c>
      <c r="M84" s="96">
        <v>-5.0081136505349768</v>
      </c>
      <c r="N84" s="96">
        <v>-5.0081136505349768</v>
      </c>
      <c r="O84" s="109">
        <v>-72.89587646889801</v>
      </c>
    </row>
    <row r="85" spans="1:15" x14ac:dyDescent="0.2">
      <c r="A85" s="229"/>
      <c r="B85" s="107" t="s">
        <v>27</v>
      </c>
      <c r="C85" s="108">
        <v>-85.973230634439574</v>
      </c>
      <c r="D85" s="96">
        <v>-118.2131921223544</v>
      </c>
      <c r="E85" s="96">
        <v>-96.719884463744506</v>
      </c>
      <c r="F85" s="96">
        <v>-118.2131921223544</v>
      </c>
      <c r="G85" s="96">
        <v>-118.2131921223544</v>
      </c>
      <c r="H85" s="96">
        <v>-150.45315361026925</v>
      </c>
      <c r="I85" s="96">
        <v>-139.70649978096429</v>
      </c>
      <c r="J85" s="96">
        <v>-139.70649978096429</v>
      </c>
      <c r="K85" s="96">
        <v>-139.70649978096429</v>
      </c>
      <c r="L85" s="96">
        <v>-107.46653829304944</v>
      </c>
      <c r="M85" s="96">
        <v>-96.719884463744506</v>
      </c>
      <c r="N85" s="96">
        <v>-96.719884463744506</v>
      </c>
      <c r="O85" s="109">
        <v>-1407.8116516389482</v>
      </c>
    </row>
    <row r="86" spans="1:15" x14ac:dyDescent="0.2">
      <c r="A86" s="229"/>
      <c r="B86" s="107" t="s">
        <v>48</v>
      </c>
      <c r="C86" s="108">
        <v>167.85968793503918</v>
      </c>
      <c r="D86" s="96">
        <v>230.80707091067887</v>
      </c>
      <c r="E86" s="96">
        <v>188.84214892691907</v>
      </c>
      <c r="F86" s="96">
        <v>230.80707091067887</v>
      </c>
      <c r="G86" s="96">
        <v>230.80707091067887</v>
      </c>
      <c r="H86" s="96">
        <v>293.75445388631857</v>
      </c>
      <c r="I86" s="96">
        <v>272.77199289443865</v>
      </c>
      <c r="J86" s="96">
        <v>272.77199289443865</v>
      </c>
      <c r="K86" s="96">
        <v>272.77199289443865</v>
      </c>
      <c r="L86" s="96">
        <v>209.82460991879896</v>
      </c>
      <c r="M86" s="96">
        <v>188.84214892691907</v>
      </c>
      <c r="N86" s="96">
        <v>188.84214892691907</v>
      </c>
      <c r="O86" s="109">
        <v>2748.7023899362666</v>
      </c>
    </row>
    <row r="87" spans="1:15" x14ac:dyDescent="0.2">
      <c r="A87" s="229"/>
      <c r="B87" s="107" t="s">
        <v>86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">
      <c r="A88" s="229"/>
      <c r="B88" s="107" t="s">
        <v>88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">
      <c r="A89" s="97" t="s">
        <v>55</v>
      </c>
      <c r="B89" s="97" t="s">
        <v>69</v>
      </c>
      <c r="C89" s="104">
        <v>237.42981316684555</v>
      </c>
      <c r="D89" s="105">
        <v>237.42981316684555</v>
      </c>
      <c r="E89" s="105">
        <v>194.26075622741908</v>
      </c>
      <c r="F89" s="105">
        <v>226.63754893198893</v>
      </c>
      <c r="G89" s="105">
        <v>334.5601912805551</v>
      </c>
      <c r="H89" s="105">
        <v>410.10604092455139</v>
      </c>
      <c r="I89" s="105">
        <v>431.69056939426463</v>
      </c>
      <c r="J89" s="105">
        <v>410.10604092455139</v>
      </c>
      <c r="K89" s="105">
        <v>377.72924821998151</v>
      </c>
      <c r="L89" s="105">
        <v>248.22207740170217</v>
      </c>
      <c r="M89" s="105">
        <v>194.26075622741908</v>
      </c>
      <c r="N89" s="105">
        <v>291.39113434112863</v>
      </c>
      <c r="O89" s="106">
        <v>3593.8239902072532</v>
      </c>
    </row>
    <row r="90" spans="1:15" x14ac:dyDescent="0.2">
      <c r="A90" s="229"/>
      <c r="B90" s="107" t="s">
        <v>25</v>
      </c>
      <c r="C90" s="108">
        <v>-224.1843286545122</v>
      </c>
      <c r="D90" s="96">
        <v>-224.1843286545122</v>
      </c>
      <c r="E90" s="96">
        <v>-183.42354162641905</v>
      </c>
      <c r="F90" s="96">
        <v>-213.9941318974889</v>
      </c>
      <c r="G90" s="96">
        <v>-315.89609946772174</v>
      </c>
      <c r="H90" s="96">
        <v>-387.22747676688471</v>
      </c>
      <c r="I90" s="96">
        <v>-407.60787028093119</v>
      </c>
      <c r="J90" s="96">
        <v>-387.22747676688471</v>
      </c>
      <c r="K90" s="96">
        <v>-356.65688649581489</v>
      </c>
      <c r="L90" s="96">
        <v>-234.37452541153544</v>
      </c>
      <c r="M90" s="96">
        <v>-183.42354162641905</v>
      </c>
      <c r="N90" s="96">
        <v>-275.13531243962854</v>
      </c>
      <c r="O90" s="109">
        <v>-3393.3355200887531</v>
      </c>
    </row>
    <row r="91" spans="1:15" x14ac:dyDescent="0.2">
      <c r="A91" s="229"/>
      <c r="B91" s="107" t="s">
        <v>26</v>
      </c>
      <c r="C91" s="108">
        <v>-12.24205559019661</v>
      </c>
      <c r="D91" s="96">
        <v>-12.24205559019661</v>
      </c>
      <c r="E91" s="96">
        <v>-10.016227301069954</v>
      </c>
      <c r="F91" s="96">
        <v>-11.685598517914945</v>
      </c>
      <c r="G91" s="96">
        <v>-17.250169240731587</v>
      </c>
      <c r="H91" s="96">
        <v>-21.145368746703237</v>
      </c>
      <c r="I91" s="96">
        <v>-22.258282891266564</v>
      </c>
      <c r="J91" s="96">
        <v>-21.145368746703237</v>
      </c>
      <c r="K91" s="96">
        <v>-19.475997529858244</v>
      </c>
      <c r="L91" s="96">
        <v>-12.798512662478274</v>
      </c>
      <c r="M91" s="96">
        <v>-10.016227301069954</v>
      </c>
      <c r="N91" s="96">
        <v>-15.02434095160493</v>
      </c>
      <c r="O91" s="109">
        <v>-185.30020506979415</v>
      </c>
    </row>
    <row r="92" spans="1:15" x14ac:dyDescent="0.2">
      <c r="A92" s="229"/>
      <c r="B92" s="107" t="s">
        <v>27</v>
      </c>
      <c r="C92" s="108">
        <v>-236.4263842447088</v>
      </c>
      <c r="D92" s="96">
        <v>-236.4263842447088</v>
      </c>
      <c r="E92" s="96">
        <v>-193.43976892748901</v>
      </c>
      <c r="F92" s="96">
        <v>-225.67973041540384</v>
      </c>
      <c r="G92" s="96">
        <v>-333.14626870845331</v>
      </c>
      <c r="H92" s="96">
        <v>-408.37284551358795</v>
      </c>
      <c r="I92" s="96">
        <v>-429.86615317219776</v>
      </c>
      <c r="J92" s="96">
        <v>-408.37284551358795</v>
      </c>
      <c r="K92" s="96">
        <v>-376.13288402567315</v>
      </c>
      <c r="L92" s="96">
        <v>-247.17303807401373</v>
      </c>
      <c r="M92" s="96">
        <v>-193.43976892748901</v>
      </c>
      <c r="N92" s="96">
        <v>-290.15965339123346</v>
      </c>
      <c r="O92" s="109">
        <v>-3578.6357251585468</v>
      </c>
    </row>
    <row r="93" spans="1:15" x14ac:dyDescent="0.2">
      <c r="A93" s="229"/>
      <c r="B93" s="107" t="s">
        <v>48</v>
      </c>
      <c r="C93" s="108">
        <v>461.61414182135775</v>
      </c>
      <c r="D93" s="96">
        <v>461.61414182135775</v>
      </c>
      <c r="E93" s="96">
        <v>377.68429785383813</v>
      </c>
      <c r="F93" s="96">
        <v>440.63168082947783</v>
      </c>
      <c r="G93" s="96">
        <v>650.45629074827684</v>
      </c>
      <c r="H93" s="96">
        <v>797.3335176914361</v>
      </c>
      <c r="I93" s="96">
        <v>839.29843967519582</v>
      </c>
      <c r="J93" s="96">
        <v>797.3335176914361</v>
      </c>
      <c r="K93" s="96">
        <v>734.3861347157964</v>
      </c>
      <c r="L93" s="96">
        <v>482.59660281323761</v>
      </c>
      <c r="M93" s="96">
        <v>377.68429785383813</v>
      </c>
      <c r="N93" s="96">
        <v>566.52644678075717</v>
      </c>
      <c r="O93" s="109">
        <v>6987.1595102960055</v>
      </c>
    </row>
    <row r="94" spans="1:15" x14ac:dyDescent="0.2">
      <c r="A94" s="229"/>
      <c r="B94" s="107" t="s">
        <v>86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">
      <c r="A95" s="229"/>
      <c r="B95" s="107" t="s">
        <v>88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">
      <c r="A96" s="97" t="s">
        <v>56</v>
      </c>
      <c r="B96" s="97" t="s">
        <v>69</v>
      </c>
      <c r="C96" s="104">
        <v>399.31377668969475</v>
      </c>
      <c r="D96" s="105">
        <v>399.31377668969475</v>
      </c>
      <c r="E96" s="105">
        <v>269.8066058714154</v>
      </c>
      <c r="F96" s="105">
        <v>334.5601912805551</v>
      </c>
      <c r="G96" s="105">
        <v>431.69056939426463</v>
      </c>
      <c r="H96" s="105">
        <v>518.02868327311751</v>
      </c>
      <c r="I96" s="105">
        <v>561.19774021254398</v>
      </c>
      <c r="J96" s="105">
        <v>539.6132117428308</v>
      </c>
      <c r="K96" s="105">
        <v>507.23641903826092</v>
      </c>
      <c r="L96" s="105">
        <v>377.72924821998151</v>
      </c>
      <c r="M96" s="105">
        <v>366.93698398512493</v>
      </c>
      <c r="N96" s="105">
        <v>366.93698398512493</v>
      </c>
      <c r="O96" s="106">
        <v>5072.3641903826092</v>
      </c>
    </row>
    <row r="97" spans="1:15" x14ac:dyDescent="0.2">
      <c r="A97" s="229"/>
      <c r="B97" s="107" t="s">
        <v>25</v>
      </c>
      <c r="C97" s="108">
        <v>-377.03728000986149</v>
      </c>
      <c r="D97" s="96">
        <v>-377.03728000986149</v>
      </c>
      <c r="E97" s="96">
        <v>-254.75491892558205</v>
      </c>
      <c r="F97" s="96">
        <v>-315.89609946772174</v>
      </c>
      <c r="G97" s="96">
        <v>-407.60787028093119</v>
      </c>
      <c r="H97" s="96">
        <v>-489.12944433711755</v>
      </c>
      <c r="I97" s="96">
        <v>-529.89023136521064</v>
      </c>
      <c r="J97" s="96">
        <v>-509.50983785116409</v>
      </c>
      <c r="K97" s="96">
        <v>-478.93924758009427</v>
      </c>
      <c r="L97" s="96">
        <v>-356.65688649581489</v>
      </c>
      <c r="M97" s="96">
        <v>-346.46668973879162</v>
      </c>
      <c r="N97" s="96">
        <v>-346.46668973879162</v>
      </c>
      <c r="O97" s="109">
        <v>-4789.3924758009416</v>
      </c>
    </row>
    <row r="98" spans="1:15" x14ac:dyDescent="0.2">
      <c r="A98" s="229"/>
      <c r="B98" s="107" t="s">
        <v>26</v>
      </c>
      <c r="C98" s="108">
        <v>-20.588911674421571</v>
      </c>
      <c r="D98" s="96">
        <v>-20.588911674421571</v>
      </c>
      <c r="E98" s="96">
        <v>-13.911426807041602</v>
      </c>
      <c r="F98" s="96">
        <v>-17.250169240731587</v>
      </c>
      <c r="G98" s="96">
        <v>-22.258282891266564</v>
      </c>
      <c r="H98" s="96">
        <v>-26.709939469519874</v>
      </c>
      <c r="I98" s="96">
        <v>-28.935767758646531</v>
      </c>
      <c r="J98" s="96">
        <v>-27.822853614083204</v>
      </c>
      <c r="K98" s="96">
        <v>-26.153482397238214</v>
      </c>
      <c r="L98" s="96">
        <v>-19.475997529858244</v>
      </c>
      <c r="M98" s="96">
        <v>-18.919540457576581</v>
      </c>
      <c r="N98" s="96">
        <v>-18.919540457576581</v>
      </c>
      <c r="O98" s="109">
        <v>-261.53482397238213</v>
      </c>
    </row>
    <row r="99" spans="1:15" x14ac:dyDescent="0.2">
      <c r="A99" s="229"/>
      <c r="B99" s="107" t="s">
        <v>27</v>
      </c>
      <c r="C99" s="108">
        <v>-397.62619168428307</v>
      </c>
      <c r="D99" s="96">
        <v>-397.62619168428307</v>
      </c>
      <c r="E99" s="96">
        <v>-268.66634573262365</v>
      </c>
      <c r="F99" s="96">
        <v>-333.14626870845331</v>
      </c>
      <c r="G99" s="96">
        <v>-429.86615317219776</v>
      </c>
      <c r="H99" s="96">
        <v>-515.83938380663744</v>
      </c>
      <c r="I99" s="96">
        <v>-558.82599912385717</v>
      </c>
      <c r="J99" s="96">
        <v>-537.33269146524731</v>
      </c>
      <c r="K99" s="96">
        <v>-505.09272997733251</v>
      </c>
      <c r="L99" s="96">
        <v>-376.13288402567315</v>
      </c>
      <c r="M99" s="96">
        <v>-365.38623019636822</v>
      </c>
      <c r="N99" s="96">
        <v>-365.38623019636822</v>
      </c>
      <c r="O99" s="109">
        <v>-5050.9272997733251</v>
      </c>
    </row>
    <row r="100" spans="1:15" x14ac:dyDescent="0.2">
      <c r="A100" s="229"/>
      <c r="B100" s="107" t="s">
        <v>48</v>
      </c>
      <c r="C100" s="108">
        <v>776.35105669955624</v>
      </c>
      <c r="D100" s="96">
        <v>776.35105669955624</v>
      </c>
      <c r="E100" s="96">
        <v>524.56152479699745</v>
      </c>
      <c r="F100" s="96">
        <v>650.45629074827684</v>
      </c>
      <c r="G100" s="96">
        <v>839.29843967519582</v>
      </c>
      <c r="H100" s="96">
        <v>1007.1581276102351</v>
      </c>
      <c r="I100" s="96">
        <v>1091.0879715777546</v>
      </c>
      <c r="J100" s="96">
        <v>1049.1230495939949</v>
      </c>
      <c r="K100" s="96">
        <v>986.17566661835519</v>
      </c>
      <c r="L100" s="96">
        <v>734.3861347157964</v>
      </c>
      <c r="M100" s="96">
        <v>713.40367372391654</v>
      </c>
      <c r="N100" s="96">
        <v>713.40367372391654</v>
      </c>
      <c r="O100" s="109">
        <v>9861.7566661835517</v>
      </c>
    </row>
    <row r="101" spans="1:15" x14ac:dyDescent="0.2">
      <c r="A101" s="229"/>
      <c r="B101" s="107" t="s">
        <v>86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">
      <c r="A102" s="229"/>
      <c r="B102" s="107" t="s">
        <v>88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">
      <c r="A103" s="97" t="s">
        <v>80</v>
      </c>
      <c r="B103" s="97" t="s">
        <v>69</v>
      </c>
      <c r="C103" s="104">
        <v>1759.1390702816284</v>
      </c>
      <c r="D103" s="105">
        <v>1672.8009564027755</v>
      </c>
      <c r="E103" s="105">
        <v>1521.7092571147828</v>
      </c>
      <c r="F103" s="105">
        <v>992.88830960680866</v>
      </c>
      <c r="G103" s="105">
        <v>1413.7866147662166</v>
      </c>
      <c r="H103" s="105">
        <v>1640.4241636982056</v>
      </c>
      <c r="I103" s="105">
        <v>1608.0473709936357</v>
      </c>
      <c r="J103" s="105">
        <v>1478.5402001753564</v>
      </c>
      <c r="K103" s="105">
        <v>1467.7479359404997</v>
      </c>
      <c r="L103" s="105">
        <v>982.09604537195196</v>
      </c>
      <c r="M103" s="105">
        <v>1219.5258585387976</v>
      </c>
      <c r="N103" s="105">
        <v>2266.3754893198893</v>
      </c>
      <c r="O103" s="106">
        <v>18023.081272210547</v>
      </c>
    </row>
    <row r="104" spans="1:15" x14ac:dyDescent="0.2">
      <c r="A104" s="229"/>
      <c r="B104" s="107" t="s">
        <v>25</v>
      </c>
      <c r="C104" s="108">
        <v>-1661.0020713947947</v>
      </c>
      <c r="D104" s="96">
        <v>-1579.4804973386088</v>
      </c>
      <c r="E104" s="96">
        <v>-1436.8177427402829</v>
      </c>
      <c r="F104" s="96">
        <v>-937.49810164614178</v>
      </c>
      <c r="G104" s="96">
        <v>-1334.91577517005</v>
      </c>
      <c r="H104" s="96">
        <v>-1548.9099070675388</v>
      </c>
      <c r="I104" s="96">
        <v>-1518.3393167964689</v>
      </c>
      <c r="J104" s="96">
        <v>-1396.0569557121894</v>
      </c>
      <c r="K104" s="96">
        <v>-1385.8667589551665</v>
      </c>
      <c r="L104" s="96">
        <v>-927.30790488911862</v>
      </c>
      <c r="M104" s="96">
        <v>-1151.4922335436306</v>
      </c>
      <c r="N104" s="96">
        <v>-2139.9413189748893</v>
      </c>
      <c r="O104" s="109">
        <v>-17017.628584228878</v>
      </c>
    </row>
    <row r="105" spans="1:15" x14ac:dyDescent="0.2">
      <c r="A105" s="229"/>
      <c r="B105" s="107" t="s">
        <v>26</v>
      </c>
      <c r="C105" s="108">
        <v>-90.702502781911249</v>
      </c>
      <c r="D105" s="96">
        <v>-86.250846203657929</v>
      </c>
      <c r="E105" s="96">
        <v>-78.460447191714636</v>
      </c>
      <c r="F105" s="96">
        <v>-51.194050649913095</v>
      </c>
      <c r="G105" s="96">
        <v>-72.895876468897995</v>
      </c>
      <c r="H105" s="96">
        <v>-84.58147498681295</v>
      </c>
      <c r="I105" s="96">
        <v>-82.912103769967956</v>
      </c>
      <c r="J105" s="96">
        <v>-76.234618902587982</v>
      </c>
      <c r="K105" s="96">
        <v>-75.678161830306323</v>
      </c>
      <c r="L105" s="96">
        <v>-50.637593577631428</v>
      </c>
      <c r="M105" s="96">
        <v>-62.879649167828049</v>
      </c>
      <c r="N105" s="96">
        <v>-116.85598517914947</v>
      </c>
      <c r="O105" s="109">
        <v>-929.28331071037894</v>
      </c>
    </row>
    <row r="106" spans="1:15" x14ac:dyDescent="0.2">
      <c r="A106" s="229"/>
      <c r="B106" s="107" t="s">
        <v>27</v>
      </c>
      <c r="C106" s="108">
        <v>-1751.704574176706</v>
      </c>
      <c r="D106" s="96">
        <v>-1665.7313435422666</v>
      </c>
      <c r="E106" s="96">
        <v>-1515.2781899319975</v>
      </c>
      <c r="F106" s="96">
        <v>-988.69215229605493</v>
      </c>
      <c r="G106" s="96">
        <v>-1407.811651638948</v>
      </c>
      <c r="H106" s="96">
        <v>-1633.4913820543518</v>
      </c>
      <c r="I106" s="96">
        <v>-1601.2514205664368</v>
      </c>
      <c r="J106" s="96">
        <v>-1472.2915746147773</v>
      </c>
      <c r="K106" s="96">
        <v>-1461.5449207854729</v>
      </c>
      <c r="L106" s="96">
        <v>-977.94549846675</v>
      </c>
      <c r="M106" s="96">
        <v>-1214.3718827114587</v>
      </c>
      <c r="N106" s="96">
        <v>-2256.797304154039</v>
      </c>
      <c r="O106" s="109">
        <v>-17946.911894939261</v>
      </c>
    </row>
    <row r="107" spans="1:15" x14ac:dyDescent="0.2">
      <c r="A107" s="229"/>
      <c r="B107" s="107" t="s">
        <v>48</v>
      </c>
      <c r="C107" s="108">
        <v>3420.1411416764231</v>
      </c>
      <c r="D107" s="96">
        <v>3252.2814537413842</v>
      </c>
      <c r="E107" s="96">
        <v>2958.5269998550657</v>
      </c>
      <c r="F107" s="96">
        <v>1930.3864112529504</v>
      </c>
      <c r="G107" s="96">
        <v>2748.7023899362666</v>
      </c>
      <c r="H107" s="96">
        <v>3189.3340707657444</v>
      </c>
      <c r="I107" s="96">
        <v>3126.3866877901046</v>
      </c>
      <c r="J107" s="96">
        <v>2874.5971558875458</v>
      </c>
      <c r="K107" s="96">
        <v>2853.6146948956662</v>
      </c>
      <c r="L107" s="96">
        <v>1909.4039502610706</v>
      </c>
      <c r="M107" s="96">
        <v>2371.0180920824282</v>
      </c>
      <c r="N107" s="96">
        <v>4406.3168082947786</v>
      </c>
      <c r="O107" s="109">
        <v>35040.709856439433</v>
      </c>
    </row>
    <row r="108" spans="1:15" x14ac:dyDescent="0.2">
      <c r="A108" s="229"/>
      <c r="B108" s="107" t="s">
        <v>86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">
      <c r="A109" s="229"/>
      <c r="B109" s="107" t="s">
        <v>88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">
      <c r="A110" s="97" t="s">
        <v>82</v>
      </c>
      <c r="B110" s="97" t="s">
        <v>69</v>
      </c>
      <c r="C110" s="104">
        <v>518.02868327311751</v>
      </c>
      <c r="D110" s="105">
        <v>485.65189056854769</v>
      </c>
      <c r="E110" s="105">
        <v>410.10604092455139</v>
      </c>
      <c r="F110" s="105">
        <v>280.59887010627199</v>
      </c>
      <c r="G110" s="105">
        <v>464.06736209883445</v>
      </c>
      <c r="H110" s="105">
        <v>582.78226868225727</v>
      </c>
      <c r="I110" s="105">
        <v>615.15906138682703</v>
      </c>
      <c r="J110" s="105">
        <v>582.78226868225727</v>
      </c>
      <c r="K110" s="105">
        <v>571.99000444740057</v>
      </c>
      <c r="L110" s="105">
        <v>334.5601912805551</v>
      </c>
      <c r="M110" s="105">
        <v>410.10604092455139</v>
      </c>
      <c r="N110" s="105">
        <v>625.95132562168374</v>
      </c>
      <c r="O110" s="106">
        <v>5881.7840079968555</v>
      </c>
    </row>
    <row r="111" spans="1:15" x14ac:dyDescent="0.2">
      <c r="A111" s="229"/>
      <c r="B111" s="107" t="s">
        <v>25</v>
      </c>
      <c r="C111" s="108">
        <v>-489.12944433711755</v>
      </c>
      <c r="D111" s="96">
        <v>-458.55885406604767</v>
      </c>
      <c r="E111" s="96">
        <v>-387.22747676688471</v>
      </c>
      <c r="F111" s="96">
        <v>-264.94511568260532</v>
      </c>
      <c r="G111" s="96">
        <v>-438.17846055200107</v>
      </c>
      <c r="H111" s="96">
        <v>-550.27062487925707</v>
      </c>
      <c r="I111" s="96">
        <v>-580.84121515032712</v>
      </c>
      <c r="J111" s="96">
        <v>-550.27062487925707</v>
      </c>
      <c r="K111" s="96">
        <v>-540.08042812223391</v>
      </c>
      <c r="L111" s="96">
        <v>-315.89609946772174</v>
      </c>
      <c r="M111" s="96">
        <v>-387.22747676688471</v>
      </c>
      <c r="N111" s="96">
        <v>-591.03141190735028</v>
      </c>
      <c r="O111" s="109">
        <v>-5553.6572325776879</v>
      </c>
    </row>
    <row r="112" spans="1:15" x14ac:dyDescent="0.2">
      <c r="A112" s="229"/>
      <c r="B112" s="107" t="s">
        <v>26</v>
      </c>
      <c r="C112" s="108">
        <v>-26.709939469519874</v>
      </c>
      <c r="D112" s="96">
        <v>-25.040568252674884</v>
      </c>
      <c r="E112" s="96">
        <v>-21.145368746703237</v>
      </c>
      <c r="F112" s="96">
        <v>-14.467883879323265</v>
      </c>
      <c r="G112" s="96">
        <v>-23.927654108111557</v>
      </c>
      <c r="H112" s="96">
        <v>-30.048681903209861</v>
      </c>
      <c r="I112" s="96">
        <v>-31.718053120054851</v>
      </c>
      <c r="J112" s="96">
        <v>-30.048681903209861</v>
      </c>
      <c r="K112" s="96">
        <v>-29.492224830928198</v>
      </c>
      <c r="L112" s="96">
        <v>-17.250169240731587</v>
      </c>
      <c r="M112" s="96">
        <v>-21.145368746703237</v>
      </c>
      <c r="N112" s="96">
        <v>-32.274510192336521</v>
      </c>
      <c r="O112" s="109">
        <v>-303.26910439350695</v>
      </c>
    </row>
    <row r="113" spans="1:15" x14ac:dyDescent="0.2">
      <c r="A113" s="229"/>
      <c r="B113" s="107" t="s">
        <v>27</v>
      </c>
      <c r="C113" s="108">
        <v>-515.83938380663744</v>
      </c>
      <c r="D113" s="96">
        <v>-483.59942231872253</v>
      </c>
      <c r="E113" s="96">
        <v>-408.37284551358795</v>
      </c>
      <c r="F113" s="96">
        <v>-279.41299956192859</v>
      </c>
      <c r="G113" s="96">
        <v>-462.10611466011261</v>
      </c>
      <c r="H113" s="96">
        <v>-580.31930678246692</v>
      </c>
      <c r="I113" s="96">
        <v>-612.55926827038195</v>
      </c>
      <c r="J113" s="96">
        <v>-580.31930678246692</v>
      </c>
      <c r="K113" s="96">
        <v>-569.57265295316211</v>
      </c>
      <c r="L113" s="96">
        <v>-333.14626870845331</v>
      </c>
      <c r="M113" s="96">
        <v>-408.37284551358795</v>
      </c>
      <c r="N113" s="96">
        <v>-623.30592209968677</v>
      </c>
      <c r="O113" s="109">
        <v>-5856.9263369711944</v>
      </c>
    </row>
    <row r="114" spans="1:15" x14ac:dyDescent="0.2">
      <c r="A114" s="229"/>
      <c r="B114" s="107" t="s">
        <v>48</v>
      </c>
      <c r="C114" s="108">
        <v>1007.1581276102351</v>
      </c>
      <c r="D114" s="96">
        <v>944.21074463459536</v>
      </c>
      <c r="E114" s="96">
        <v>797.3335176914361</v>
      </c>
      <c r="F114" s="96">
        <v>545.54398578887731</v>
      </c>
      <c r="G114" s="96">
        <v>902.24582265083552</v>
      </c>
      <c r="H114" s="96">
        <v>1133.0528935615143</v>
      </c>
      <c r="I114" s="96">
        <v>1196.0002765371541</v>
      </c>
      <c r="J114" s="96">
        <v>1133.0528935615143</v>
      </c>
      <c r="K114" s="96">
        <v>1112.0704325696345</v>
      </c>
      <c r="L114" s="96">
        <v>650.45629074827684</v>
      </c>
      <c r="M114" s="96">
        <v>797.3335176914361</v>
      </c>
      <c r="N114" s="96">
        <v>1216.982737529034</v>
      </c>
      <c r="O114" s="109">
        <v>11435.441240574546</v>
      </c>
    </row>
    <row r="115" spans="1:15" x14ac:dyDescent="0.2">
      <c r="A115" s="229"/>
      <c r="B115" s="107" t="s">
        <v>86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">
      <c r="A116" s="229"/>
      <c r="B116" s="107" t="s">
        <v>88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">
      <c r="A117" s="97" t="s">
        <v>70</v>
      </c>
      <c r="B117" s="98"/>
      <c r="C117" s="104">
        <v>91280.970898417261</v>
      </c>
      <c r="D117" s="105">
        <v>88399.436347710551</v>
      </c>
      <c r="E117" s="105">
        <v>78524.514572816741</v>
      </c>
      <c r="F117" s="105">
        <v>69718.026957173744</v>
      </c>
      <c r="G117" s="105">
        <v>95317.277722253639</v>
      </c>
      <c r="H117" s="105">
        <v>110933.68407009117</v>
      </c>
      <c r="I117" s="105">
        <v>116200.3090167012</v>
      </c>
      <c r="J117" s="105">
        <v>113243.22861635048</v>
      </c>
      <c r="K117" s="105">
        <v>105149.03044020801</v>
      </c>
      <c r="L117" s="105">
        <v>76053.086063034571</v>
      </c>
      <c r="M117" s="105">
        <v>77855.394190255625</v>
      </c>
      <c r="N117" s="105">
        <v>106994.5076243685</v>
      </c>
      <c r="O117" s="106">
        <v>1129669.4665193812</v>
      </c>
    </row>
    <row r="118" spans="1:15" x14ac:dyDescent="0.2">
      <c r="A118" s="97" t="s">
        <v>28</v>
      </c>
      <c r="B118" s="98"/>
      <c r="C118" s="242">
        <v>-86188.68417090291</v>
      </c>
      <c r="D118" s="243">
        <v>-83467.901636777708</v>
      </c>
      <c r="E118" s="243">
        <v>-74143.871604101398</v>
      </c>
      <c r="F118" s="243">
        <v>-65828.671050370409</v>
      </c>
      <c r="G118" s="243">
        <v>-89999.817758029632</v>
      </c>
      <c r="H118" s="243">
        <v>-104745.0324654423</v>
      </c>
      <c r="I118" s="243">
        <v>-109717.84848286967</v>
      </c>
      <c r="J118" s="243">
        <v>-106925.73457144531</v>
      </c>
      <c r="K118" s="243">
        <v>-99283.087003677836</v>
      </c>
      <c r="L118" s="243">
        <v>-71810.316546743052</v>
      </c>
      <c r="M118" s="243">
        <v>-73512.079405165961</v>
      </c>
      <c r="N118" s="243">
        <v>-101025.61064912882</v>
      </c>
      <c r="O118" s="244">
        <v>-1066648.655344655</v>
      </c>
    </row>
    <row r="119" spans="1:15" x14ac:dyDescent="0.2">
      <c r="A119" s="97" t="s">
        <v>29</v>
      </c>
      <c r="B119" s="98"/>
      <c r="C119" s="242">
        <v>-4706.5139173583138</v>
      </c>
      <c r="D119" s="243">
        <v>-4557.9398790591113</v>
      </c>
      <c r="E119" s="243">
        <v>-4048.7816579213882</v>
      </c>
      <c r="F119" s="243">
        <v>-3594.7126869395506</v>
      </c>
      <c r="G119" s="243">
        <v>-4914.6288623916571</v>
      </c>
      <c r="H119" s="243">
        <v>-5719.822245983225</v>
      </c>
      <c r="I119" s="243">
        <v>-5991.3732972566777</v>
      </c>
      <c r="J119" s="243">
        <v>-5838.9040594515018</v>
      </c>
      <c r="K119" s="243">
        <v>-5421.5612552402536</v>
      </c>
      <c r="L119" s="243">
        <v>-3921.3529883688875</v>
      </c>
      <c r="M119" s="243">
        <v>-4014.281319439925</v>
      </c>
      <c r="N119" s="243">
        <v>-5516.7154146004177</v>
      </c>
      <c r="O119" s="244">
        <v>-58246.587584010907</v>
      </c>
    </row>
    <row r="120" spans="1:15" x14ac:dyDescent="0.2">
      <c r="A120" s="97" t="s">
        <v>30</v>
      </c>
      <c r="B120" s="98"/>
      <c r="C120" s="242">
        <v>-90895.198088261241</v>
      </c>
      <c r="D120" s="243">
        <v>-88025.841515836815</v>
      </c>
      <c r="E120" s="243">
        <v>-78192.653262022781</v>
      </c>
      <c r="F120" s="243">
        <v>-69423.383737309952</v>
      </c>
      <c r="G120" s="243">
        <v>-94914.44662042128</v>
      </c>
      <c r="H120" s="243">
        <v>-110464.85471142553</v>
      </c>
      <c r="I120" s="243">
        <v>-115709.22178012635</v>
      </c>
      <c r="J120" s="243">
        <v>-112764.63863089678</v>
      </c>
      <c r="K120" s="243">
        <v>-104704.64825891808</v>
      </c>
      <c r="L120" s="243">
        <v>-75731.669535111971</v>
      </c>
      <c r="M120" s="243">
        <v>-77526.360724605882</v>
      </c>
      <c r="N120" s="243">
        <v>-106542.32606372926</v>
      </c>
      <c r="O120" s="244">
        <v>-1124895.2429286656</v>
      </c>
    </row>
    <row r="121" spans="1:15" x14ac:dyDescent="0.2">
      <c r="A121" s="97" t="s">
        <v>60</v>
      </c>
      <c r="B121" s="98"/>
      <c r="C121" s="104">
        <v>177469.65506932017</v>
      </c>
      <c r="D121" s="105">
        <v>171867.33798448826</v>
      </c>
      <c r="E121" s="105">
        <v>152668.38617691814</v>
      </c>
      <c r="F121" s="105">
        <v>135546.69800754415</v>
      </c>
      <c r="G121" s="105">
        <v>185317.09548028326</v>
      </c>
      <c r="H121" s="105">
        <v>215678.71653553346</v>
      </c>
      <c r="I121" s="105">
        <v>225918.15749957084</v>
      </c>
      <c r="J121" s="105">
        <v>220168.96318779577</v>
      </c>
      <c r="K121" s="105">
        <v>204432.11744388586</v>
      </c>
      <c r="L121" s="105">
        <v>147863.40260977767</v>
      </c>
      <c r="M121" s="105">
        <v>151367.47359542159</v>
      </c>
      <c r="N121" s="105">
        <v>208020.11827349727</v>
      </c>
      <c r="O121" s="106">
        <v>2196318.1218640362</v>
      </c>
    </row>
    <row r="122" spans="1:15" x14ac:dyDescent="0.2">
      <c r="A122" s="97" t="s">
        <v>87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">
      <c r="A123" s="110" t="s">
        <v>89</v>
      </c>
      <c r="B123" s="230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</sheetData>
  <phoneticPr fontId="6" type="noConversion"/>
  <pageMargins left="0.5" right="0.5" top="0.73" bottom="0.98" header="0.5" footer="0.5"/>
  <pageSetup scale="5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G9" sqref="G9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0" customWidth="1"/>
    <col min="5" max="5" width="24.28515625" style="1" customWidth="1"/>
    <col min="6" max="6" width="7.7109375" style="160" customWidth="1"/>
    <col min="7" max="7" width="7.42578125" style="160" customWidth="1"/>
    <col min="8" max="8" width="11.140625" style="160" bestFit="1" customWidth="1"/>
    <col min="9" max="9" width="11.28515625" style="161" customWidth="1"/>
    <col min="10" max="10" width="14.85546875" style="160" bestFit="1" customWidth="1"/>
    <col min="11" max="11" width="14.85546875" style="162" bestFit="1" customWidth="1"/>
    <col min="12" max="12" width="14.7109375" style="160" customWidth="1"/>
    <col min="13" max="13" width="13.42578125" style="124" bestFit="1" customWidth="1"/>
    <col min="14" max="15" width="13.42578125" style="124" customWidth="1"/>
    <col min="16" max="16" width="14.85546875" style="124" bestFit="1" customWidth="1"/>
    <col min="17" max="17" width="13.42578125" style="124" customWidth="1"/>
    <col min="18" max="18" width="15.5703125" style="228" customWidth="1"/>
    <col min="19" max="16384" width="8.7109375" style="1"/>
  </cols>
  <sheetData>
    <row r="1" spans="2:18" ht="22.5" x14ac:dyDescent="0.2">
      <c r="B1" s="10" t="s">
        <v>96</v>
      </c>
      <c r="C1" s="114"/>
      <c r="D1" s="115"/>
      <c r="E1" s="114"/>
      <c r="F1" s="116" t="s">
        <v>12</v>
      </c>
      <c r="G1" s="117"/>
      <c r="H1" s="118"/>
      <c r="I1" s="119"/>
      <c r="J1" s="233" t="str">
        <f>"True-Up ARR
(CY"&amp;R1&amp;")"</f>
        <v>True-Up ARR
(CY2022)</v>
      </c>
      <c r="K1" s="233" t="str">
        <f>"Projected ARR
(Jan'"&amp;RIGHT(R$1,2)&amp;" - Dec'"&amp;RIGHT(R$1,2)&amp;")"</f>
        <v>Projected ARR
(Jan'22 - Dec'22)</v>
      </c>
      <c r="L1" s="120" t="s">
        <v>44</v>
      </c>
      <c r="M1" s="121"/>
      <c r="N1" s="52"/>
      <c r="O1" s="52"/>
      <c r="P1" s="52"/>
      <c r="Q1" s="52"/>
      <c r="R1" s="122">
        <v>2022</v>
      </c>
    </row>
    <row r="2" spans="2:18" x14ac:dyDescent="0.2">
      <c r="B2" s="10" t="s">
        <v>51</v>
      </c>
      <c r="C2" s="114"/>
      <c r="D2" s="115"/>
      <c r="E2" s="114"/>
      <c r="F2" s="123">
        <v>1</v>
      </c>
      <c r="G2" s="250"/>
      <c r="H2" s="250"/>
      <c r="I2" s="125" t="s">
        <v>6</v>
      </c>
      <c r="J2" s="126">
        <v>1129669.4665193814</v>
      </c>
      <c r="K2" s="126">
        <v>2052840.0536015616</v>
      </c>
      <c r="L2" s="245"/>
      <c r="M2" s="128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CY2022 SPP Network Transmission Service</v>
      </c>
      <c r="C3" s="114"/>
      <c r="D3" s="115"/>
      <c r="E3" s="114"/>
      <c r="F3" s="123"/>
      <c r="G3" s="250"/>
      <c r="H3" s="250"/>
      <c r="I3" s="125" t="s">
        <v>10</v>
      </c>
      <c r="J3" s="129">
        <v>10.792264234856615</v>
      </c>
      <c r="K3" s="129">
        <v>20.982460991879897</v>
      </c>
      <c r="L3" s="149" t="str">
        <f>"Inv. Jan-Dec'"&amp;RIGHT(R1,2)</f>
        <v>Inv. Jan-Dec'22</v>
      </c>
      <c r="M3" s="128"/>
      <c r="N3" s="52"/>
      <c r="O3" s="52"/>
      <c r="P3" s="52"/>
      <c r="Q3" s="52"/>
      <c r="R3" s="1"/>
    </row>
    <row r="4" spans="2:18" x14ac:dyDescent="0.2">
      <c r="B4" s="9"/>
      <c r="C4" s="114"/>
      <c r="D4" s="115"/>
      <c r="E4" s="114"/>
      <c r="F4" s="123"/>
      <c r="G4" s="124"/>
      <c r="H4" s="124"/>
      <c r="I4" s="51"/>
      <c r="J4" s="124"/>
      <c r="K4" s="130"/>
      <c r="L4" s="147"/>
      <c r="M4" s="131"/>
      <c r="R4" s="1"/>
    </row>
    <row r="5" spans="2:18" x14ac:dyDescent="0.2">
      <c r="B5" s="9"/>
      <c r="C5" s="114"/>
      <c r="D5" s="115"/>
      <c r="E5" s="114"/>
      <c r="F5" s="123"/>
      <c r="G5" s="124"/>
      <c r="H5" s="124"/>
      <c r="I5" s="125"/>
      <c r="J5" s="124"/>
      <c r="K5" s="126">
        <v>0</v>
      </c>
      <c r="L5" s="127"/>
      <c r="M5" s="132"/>
      <c r="N5" s="133"/>
      <c r="O5" s="133"/>
      <c r="P5" s="133"/>
      <c r="Q5" s="133"/>
      <c r="R5" s="134"/>
    </row>
    <row r="6" spans="2:18" x14ac:dyDescent="0.2">
      <c r="B6" s="10" t="s">
        <v>23</v>
      </c>
      <c r="D6" s="115"/>
      <c r="E6" s="114"/>
      <c r="F6" s="135"/>
      <c r="G6" s="136"/>
      <c r="H6" s="137"/>
      <c r="I6" s="138"/>
      <c r="J6" s="139"/>
      <c r="K6" s="129">
        <v>0</v>
      </c>
      <c r="L6" s="231"/>
      <c r="M6" s="132"/>
      <c r="N6" s="133"/>
      <c r="O6" s="133"/>
      <c r="P6" s="133"/>
      <c r="Q6" s="133"/>
      <c r="R6" s="1"/>
    </row>
    <row r="7" spans="2:18" x14ac:dyDescent="0.2">
      <c r="B7" s="9" t="s">
        <v>76</v>
      </c>
      <c r="D7" s="115"/>
      <c r="E7" s="114"/>
      <c r="F7" s="123"/>
      <c r="G7" s="251"/>
      <c r="H7" s="250"/>
      <c r="I7" s="125"/>
      <c r="J7" s="140"/>
      <c r="K7" s="127"/>
      <c r="L7" s="127"/>
      <c r="M7" s="141"/>
      <c r="N7" s="142"/>
      <c r="O7" s="142"/>
      <c r="P7" s="142"/>
      <c r="Q7" s="142"/>
      <c r="R7" s="1"/>
    </row>
    <row r="8" spans="2:18" x14ac:dyDescent="0.2">
      <c r="B8" s="10"/>
      <c r="C8" s="114"/>
      <c r="D8" s="115"/>
      <c r="E8" s="114"/>
      <c r="F8" s="123"/>
      <c r="G8" s="250"/>
      <c r="H8" s="250"/>
      <c r="I8" s="125"/>
      <c r="J8" s="143"/>
      <c r="K8" s="127"/>
      <c r="L8" s="144"/>
      <c r="M8" s="128"/>
      <c r="N8" s="52"/>
      <c r="O8" s="52"/>
      <c r="P8" s="52"/>
      <c r="Q8" s="52"/>
      <c r="R8" s="134"/>
    </row>
    <row r="9" spans="2:18" x14ac:dyDescent="0.2">
      <c r="B9" s="145"/>
      <c r="C9" s="114"/>
      <c r="D9" s="115"/>
      <c r="E9" s="114"/>
      <c r="F9" s="123"/>
      <c r="G9" s="124"/>
      <c r="H9" s="124"/>
      <c r="I9" s="146"/>
      <c r="J9" s="147"/>
      <c r="K9" s="148"/>
      <c r="L9" s="149"/>
      <c r="M9" s="128"/>
      <c r="N9" s="52"/>
      <c r="O9" s="52"/>
      <c r="P9" s="52"/>
      <c r="Q9" s="52"/>
      <c r="R9" s="134"/>
    </row>
    <row r="10" spans="2:18" ht="13.5" thickBot="1" x14ac:dyDescent="0.25">
      <c r="B10" s="9"/>
      <c r="D10" s="1"/>
      <c r="E10" s="150"/>
      <c r="F10" s="151"/>
      <c r="G10" s="152"/>
      <c r="H10" s="153"/>
      <c r="I10" s="154"/>
      <c r="J10" s="155"/>
      <c r="K10" s="155"/>
      <c r="L10" s="156"/>
      <c r="M10" s="157"/>
      <c r="R10" s="158"/>
    </row>
    <row r="11" spans="2:18" x14ac:dyDescent="0.2">
      <c r="B11" s="159"/>
      <c r="E11" s="150"/>
      <c r="L11" s="163"/>
      <c r="M11" s="1"/>
      <c r="N11" s="1"/>
      <c r="O11" s="1"/>
      <c r="P11" s="1"/>
      <c r="Q11" s="1"/>
      <c r="R11" s="134"/>
    </row>
    <row r="12" spans="2:18" x14ac:dyDescent="0.2">
      <c r="E12" s="150"/>
      <c r="L12" s="163"/>
      <c r="R12" s="164" t="s">
        <v>59</v>
      </c>
    </row>
    <row r="13" spans="2:18" x14ac:dyDescent="0.2">
      <c r="E13" s="150"/>
      <c r="F13" s="165"/>
      <c r="G13" s="166"/>
      <c r="H13" s="166"/>
      <c r="I13" s="167" t="s">
        <v>57</v>
      </c>
      <c r="J13" s="168">
        <f t="shared" ref="J13:R13" si="0">SUM(J56:J211)</f>
        <v>299636.42421655956</v>
      </c>
      <c r="K13" s="168">
        <f t="shared" si="0"/>
        <v>582557.04697855411</v>
      </c>
      <c r="L13" s="169">
        <f t="shared" si="0"/>
        <v>-282920.62276199425</v>
      </c>
      <c r="M13" s="170">
        <f t="shared" si="0"/>
        <v>-15449.474154828129</v>
      </c>
      <c r="N13" s="168">
        <f t="shared" si="0"/>
        <v>-298370.09691682243</v>
      </c>
      <c r="O13" s="168">
        <f t="shared" si="0"/>
        <v>0</v>
      </c>
      <c r="P13" s="168">
        <f t="shared" si="0"/>
        <v>0</v>
      </c>
      <c r="Q13" s="168">
        <f t="shared" si="0"/>
        <v>0</v>
      </c>
      <c r="R13" s="169">
        <f t="shared" si="0"/>
        <v>-298370.09691682243</v>
      </c>
    </row>
    <row r="14" spans="2:18" x14ac:dyDescent="0.2">
      <c r="E14" s="150"/>
      <c r="F14" s="171"/>
      <c r="G14" s="171"/>
      <c r="H14" s="171"/>
      <c r="I14" s="172" t="s">
        <v>58</v>
      </c>
      <c r="J14" s="168">
        <f>SUM(J20:J211)</f>
        <v>1129669.466519376</v>
      </c>
      <c r="K14" s="168">
        <f>SUM(K20:K211)</f>
        <v>2196318.1218640343</v>
      </c>
      <c r="L14" s="169">
        <f>SUM(L20:L211)</f>
        <v>-1066648.6553446557</v>
      </c>
      <c r="M14" s="232">
        <v>-58246.587584010907</v>
      </c>
      <c r="N14" s="168">
        <f>SUM(N20:N211)</f>
        <v>-1124895.2429286644</v>
      </c>
      <c r="O14" s="168">
        <f>SUM(O20:O211)</f>
        <v>0</v>
      </c>
      <c r="P14" s="168">
        <f>SUM(P20:P211)</f>
        <v>0</v>
      </c>
      <c r="Q14" s="168">
        <f>SUM(Q20:Q211)</f>
        <v>0</v>
      </c>
      <c r="R14" s="169">
        <f>SUM(R20:R211)</f>
        <v>-1124895.2429286644</v>
      </c>
    </row>
    <row r="15" spans="2:18" x14ac:dyDescent="0.2">
      <c r="B15" s="173" t="s">
        <v>81</v>
      </c>
      <c r="E15" s="150"/>
      <c r="J15" s="161"/>
      <c r="L15" s="163"/>
      <c r="M15" s="246"/>
      <c r="N15" s="174"/>
      <c r="O15" s="174"/>
      <c r="P15" s="174"/>
      <c r="Q15" s="174"/>
      <c r="R15" s="175" t="s">
        <v>20</v>
      </c>
    </row>
    <row r="16" spans="2:18" x14ac:dyDescent="0.2">
      <c r="B16" s="176" t="str">
        <f>"** Actual Trued-Up CY"&amp;R1&amp;" Charge reflects "&amp;R1&amp;" True-UP Rate x MW"</f>
        <v>** Actual Trued-Up CY2022 Charge reflects 2022 True-UP Rate x MW</v>
      </c>
      <c r="E16" s="150"/>
      <c r="F16" s="124"/>
      <c r="G16" s="5"/>
      <c r="J16" s="177"/>
      <c r="L16" s="178" t="s">
        <v>11</v>
      </c>
      <c r="M16" s="174"/>
      <c r="N16" s="174"/>
      <c r="O16" s="174"/>
      <c r="P16" s="174"/>
      <c r="Q16" s="174"/>
      <c r="R16" s="179"/>
    </row>
    <row r="17" spans="1:18" x14ac:dyDescent="0.2">
      <c r="B17" s="180" t="s">
        <v>61</v>
      </c>
      <c r="E17" s="150"/>
      <c r="I17" s="181"/>
      <c r="J17" s="182"/>
      <c r="K17" s="183"/>
      <c r="L17" s="183"/>
      <c r="M17" s="183"/>
      <c r="N17" s="183"/>
      <c r="O17" s="183"/>
      <c r="P17" s="183"/>
      <c r="Q17" s="183"/>
      <c r="R17" s="184"/>
    </row>
    <row r="18" spans="1:18" ht="3.6" customHeight="1" x14ac:dyDescent="0.2">
      <c r="I18" s="185"/>
      <c r="J18" s="182"/>
      <c r="K18" s="185"/>
      <c r="L18" s="185"/>
      <c r="M18" s="186"/>
      <c r="N18" s="186"/>
      <c r="O18" s="186"/>
      <c r="P18" s="186"/>
      <c r="Q18" s="186"/>
      <c r="R18" s="187"/>
    </row>
    <row r="19" spans="1:18" ht="38.25" customHeight="1" x14ac:dyDescent="0.2">
      <c r="B19" s="188" t="s">
        <v>52</v>
      </c>
      <c r="C19" s="247" t="s">
        <v>4</v>
      </c>
      <c r="D19" s="247" t="s">
        <v>5</v>
      </c>
      <c r="E19" s="234" t="s">
        <v>0</v>
      </c>
      <c r="F19" s="235" t="s">
        <v>12</v>
      </c>
      <c r="G19" s="248" t="s">
        <v>1</v>
      </c>
      <c r="H19" s="189" t="s">
        <v>47</v>
      </c>
      <c r="I19" s="189" t="s">
        <v>45</v>
      </c>
      <c r="J19" s="190" t="str">
        <f>"True-Up Charge"</f>
        <v>True-Up Charge</v>
      </c>
      <c r="K19" s="190" t="s">
        <v>46</v>
      </c>
      <c r="L19" s="191" t="s">
        <v>3</v>
      </c>
      <c r="M19" s="192" t="s">
        <v>7</v>
      </c>
      <c r="N19" s="193" t="s">
        <v>98</v>
      </c>
      <c r="O19" s="193" t="s">
        <v>83</v>
      </c>
      <c r="P19" s="193" t="s">
        <v>84</v>
      </c>
      <c r="Q19" s="193" t="s">
        <v>85</v>
      </c>
      <c r="R19" s="194" t="s">
        <v>2</v>
      </c>
    </row>
    <row r="20" spans="1:18" s="52" customFormat="1" ht="12.75" customHeight="1" x14ac:dyDescent="0.2">
      <c r="A20" s="124">
        <v>1</v>
      </c>
      <c r="B20" s="195">
        <f>DATE($R$1,A20,1)</f>
        <v>44562</v>
      </c>
      <c r="C20" s="236">
        <v>44595</v>
      </c>
      <c r="D20" s="236">
        <v>44615</v>
      </c>
      <c r="E20" s="196" t="s">
        <v>21</v>
      </c>
      <c r="F20" s="124">
        <v>9</v>
      </c>
      <c r="G20" s="197">
        <v>2899</v>
      </c>
      <c r="H20" s="198">
        <f>+$K$3</f>
        <v>20.982460991879897</v>
      </c>
      <c r="I20" s="198">
        <f t="shared" ref="I20:I63" si="1">$J$3</f>
        <v>10.792264234856615</v>
      </c>
      <c r="J20" s="199">
        <f t="shared" ref="J20:J108" si="2">+$G20*I20</f>
        <v>31286.774016849329</v>
      </c>
      <c r="K20" s="200">
        <f>+$G20*H20</f>
        <v>60828.154415459823</v>
      </c>
      <c r="L20" s="201">
        <f t="shared" ref="L20:L34" si="3">+J20-K20</f>
        <v>-29541.380398610494</v>
      </c>
      <c r="M20" s="202">
        <f>G20/$G$212*$M$14</f>
        <v>-1613.1690525445442</v>
      </c>
      <c r="N20" s="203">
        <f>SUM(L20:M20)</f>
        <v>-31154.549451155039</v>
      </c>
      <c r="O20" s="202">
        <v>0</v>
      </c>
      <c r="P20" s="202">
        <v>0</v>
      </c>
      <c r="Q20" s="202">
        <v>0</v>
      </c>
      <c r="R20" s="203">
        <f>+N20-Q20</f>
        <v>-31154.549451155039</v>
      </c>
    </row>
    <row r="21" spans="1:18" x14ac:dyDescent="0.2">
      <c r="A21" s="160">
        <v>2</v>
      </c>
      <c r="B21" s="195">
        <f t="shared" ref="B21:B108" si="4">DATE($R$1,A21,1)</f>
        <v>44593</v>
      </c>
      <c r="C21" s="236">
        <v>44623</v>
      </c>
      <c r="D21" s="236">
        <v>44642</v>
      </c>
      <c r="E21" s="204" t="s">
        <v>21</v>
      </c>
      <c r="F21" s="160">
        <v>9</v>
      </c>
      <c r="G21" s="197">
        <v>2759</v>
      </c>
      <c r="H21" s="198">
        <f t="shared" ref="H21:H84" si="5">+$K$3</f>
        <v>20.982460991879897</v>
      </c>
      <c r="I21" s="198">
        <f t="shared" si="1"/>
        <v>10.792264234856615</v>
      </c>
      <c r="J21" s="199">
        <f t="shared" si="2"/>
        <v>29775.857023969402</v>
      </c>
      <c r="K21" s="200">
        <f t="shared" ref="K21:K33" si="6">+$G21*H21</f>
        <v>57890.609876596638</v>
      </c>
      <c r="L21" s="201">
        <f t="shared" si="3"/>
        <v>-28114.752852627236</v>
      </c>
      <c r="M21" s="202">
        <f t="shared" ref="M21:M84" si="7">G21/$G$212*$M$14</f>
        <v>-1535.2650624251112</v>
      </c>
      <c r="N21" s="203">
        <f t="shared" ref="N21:N84" si="8">SUM(L21:M21)</f>
        <v>-29650.017915052347</v>
      </c>
      <c r="O21" s="202">
        <v>0</v>
      </c>
      <c r="P21" s="202">
        <v>0</v>
      </c>
      <c r="Q21" s="202">
        <v>0</v>
      </c>
      <c r="R21" s="203">
        <f t="shared" ref="R21:R84" si="9">+N21-Q21</f>
        <v>-29650.017915052347</v>
      </c>
    </row>
    <row r="22" spans="1:18" x14ac:dyDescent="0.2">
      <c r="A22" s="160">
        <v>3</v>
      </c>
      <c r="B22" s="195">
        <f t="shared" si="4"/>
        <v>44621</v>
      </c>
      <c r="C22" s="236">
        <v>44656</v>
      </c>
      <c r="D22" s="236">
        <v>44676</v>
      </c>
      <c r="E22" s="204" t="s">
        <v>21</v>
      </c>
      <c r="F22" s="160">
        <v>9</v>
      </c>
      <c r="G22" s="197">
        <v>2450</v>
      </c>
      <c r="H22" s="198">
        <f t="shared" si="5"/>
        <v>20.982460991879897</v>
      </c>
      <c r="I22" s="198">
        <f t="shared" si="1"/>
        <v>10.792264234856615</v>
      </c>
      <c r="J22" s="199">
        <f t="shared" si="2"/>
        <v>26441.047375398706</v>
      </c>
      <c r="K22" s="200">
        <f t="shared" si="6"/>
        <v>51407.029430105751</v>
      </c>
      <c r="L22" s="201">
        <f t="shared" si="3"/>
        <v>-24965.982054707045</v>
      </c>
      <c r="M22" s="202">
        <f t="shared" si="7"/>
        <v>-1363.3198270900771</v>
      </c>
      <c r="N22" s="203">
        <f t="shared" si="8"/>
        <v>-26329.301881797121</v>
      </c>
      <c r="O22" s="202">
        <v>0</v>
      </c>
      <c r="P22" s="202">
        <v>0</v>
      </c>
      <c r="Q22" s="202">
        <v>0</v>
      </c>
      <c r="R22" s="203">
        <f t="shared" si="9"/>
        <v>-26329.301881797121</v>
      </c>
    </row>
    <row r="23" spans="1:18" x14ac:dyDescent="0.2">
      <c r="A23" s="124">
        <v>4</v>
      </c>
      <c r="B23" s="195">
        <f t="shared" si="4"/>
        <v>44652</v>
      </c>
      <c r="C23" s="236">
        <v>44685</v>
      </c>
      <c r="D23" s="236">
        <v>44705</v>
      </c>
      <c r="E23" s="204" t="s">
        <v>21</v>
      </c>
      <c r="F23" s="160">
        <v>9</v>
      </c>
      <c r="G23" s="197">
        <v>2395</v>
      </c>
      <c r="H23" s="198">
        <f t="shared" si="5"/>
        <v>20.982460991879897</v>
      </c>
      <c r="I23" s="198">
        <f t="shared" si="1"/>
        <v>10.792264234856615</v>
      </c>
      <c r="J23" s="199">
        <f t="shared" si="2"/>
        <v>25847.472842481595</v>
      </c>
      <c r="K23" s="200">
        <f t="shared" si="6"/>
        <v>50252.994075552357</v>
      </c>
      <c r="L23" s="201">
        <f t="shared" si="3"/>
        <v>-24405.521233070762</v>
      </c>
      <c r="M23" s="202">
        <f t="shared" si="7"/>
        <v>-1332.7146881145854</v>
      </c>
      <c r="N23" s="203">
        <f t="shared" si="8"/>
        <v>-25738.235921185347</v>
      </c>
      <c r="O23" s="202">
        <v>0</v>
      </c>
      <c r="P23" s="202">
        <v>0</v>
      </c>
      <c r="Q23" s="202">
        <v>0</v>
      </c>
      <c r="R23" s="203">
        <f t="shared" si="9"/>
        <v>-25738.235921185347</v>
      </c>
    </row>
    <row r="24" spans="1:18" ht="12" customHeight="1" x14ac:dyDescent="0.2">
      <c r="A24" s="160">
        <v>5</v>
      </c>
      <c r="B24" s="195">
        <f t="shared" si="4"/>
        <v>44682</v>
      </c>
      <c r="C24" s="236">
        <v>44715</v>
      </c>
      <c r="D24" s="236">
        <v>44735</v>
      </c>
      <c r="E24" s="54" t="s">
        <v>21</v>
      </c>
      <c r="F24" s="160">
        <v>9</v>
      </c>
      <c r="G24" s="197">
        <v>3482</v>
      </c>
      <c r="H24" s="198">
        <f t="shared" si="5"/>
        <v>20.982460991879897</v>
      </c>
      <c r="I24" s="198">
        <f t="shared" si="1"/>
        <v>10.792264234856615</v>
      </c>
      <c r="J24" s="199">
        <f t="shared" si="2"/>
        <v>37578.664065770732</v>
      </c>
      <c r="K24" s="200">
        <f t="shared" si="6"/>
        <v>73060.929173725803</v>
      </c>
      <c r="L24" s="201">
        <f t="shared" si="3"/>
        <v>-35482.265107955071</v>
      </c>
      <c r="M24" s="202">
        <f t="shared" si="7"/>
        <v>-1937.5835256847545</v>
      </c>
      <c r="N24" s="203">
        <f t="shared" si="8"/>
        <v>-37419.848633639827</v>
      </c>
      <c r="O24" s="202">
        <v>0</v>
      </c>
      <c r="P24" s="202">
        <v>0</v>
      </c>
      <c r="Q24" s="202">
        <v>0</v>
      </c>
      <c r="R24" s="203">
        <f t="shared" si="9"/>
        <v>-37419.848633639827</v>
      </c>
    </row>
    <row r="25" spans="1:18" x14ac:dyDescent="0.2">
      <c r="A25" s="160">
        <v>6</v>
      </c>
      <c r="B25" s="195">
        <f t="shared" si="4"/>
        <v>44713</v>
      </c>
      <c r="C25" s="236">
        <v>44747</v>
      </c>
      <c r="D25" s="236">
        <v>44767</v>
      </c>
      <c r="E25" s="54" t="s">
        <v>21</v>
      </c>
      <c r="F25" s="160">
        <v>9</v>
      </c>
      <c r="G25" s="197">
        <v>4006</v>
      </c>
      <c r="H25" s="198">
        <f t="shared" si="5"/>
        <v>20.982460991879897</v>
      </c>
      <c r="I25" s="198">
        <f t="shared" si="1"/>
        <v>10.792264234856615</v>
      </c>
      <c r="J25" s="199">
        <f t="shared" si="2"/>
        <v>43233.810524835601</v>
      </c>
      <c r="K25" s="200">
        <f t="shared" si="6"/>
        <v>84055.738733470862</v>
      </c>
      <c r="L25" s="205">
        <f t="shared" si="3"/>
        <v>-40821.928208635261</v>
      </c>
      <c r="M25" s="202">
        <f t="shared" si="7"/>
        <v>-2229.1670315603465</v>
      </c>
      <c r="N25" s="203">
        <f t="shared" si="8"/>
        <v>-43051.095240195609</v>
      </c>
      <c r="O25" s="202">
        <v>0</v>
      </c>
      <c r="P25" s="202">
        <v>0</v>
      </c>
      <c r="Q25" s="202">
        <v>0</v>
      </c>
      <c r="R25" s="203">
        <f t="shared" si="9"/>
        <v>-43051.095240195609</v>
      </c>
    </row>
    <row r="26" spans="1:18" x14ac:dyDescent="0.2">
      <c r="A26" s="124">
        <v>7</v>
      </c>
      <c r="B26" s="195">
        <f t="shared" si="4"/>
        <v>44743</v>
      </c>
      <c r="C26" s="236">
        <v>44776</v>
      </c>
      <c r="D26" s="236">
        <v>44796</v>
      </c>
      <c r="E26" s="54" t="s">
        <v>21</v>
      </c>
      <c r="F26" s="160">
        <v>9</v>
      </c>
      <c r="G26" s="197">
        <v>4230</v>
      </c>
      <c r="H26" s="198">
        <f t="shared" si="5"/>
        <v>20.982460991879897</v>
      </c>
      <c r="I26" s="198">
        <f t="shared" si="1"/>
        <v>10.792264234856615</v>
      </c>
      <c r="J26" s="199">
        <f t="shared" si="2"/>
        <v>45651.27771344348</v>
      </c>
      <c r="K26" s="206">
        <f t="shared" si="6"/>
        <v>88755.809995651958</v>
      </c>
      <c r="L26" s="205">
        <f t="shared" si="3"/>
        <v>-43104.532282208478</v>
      </c>
      <c r="M26" s="202">
        <f t="shared" si="7"/>
        <v>-2353.8134157514392</v>
      </c>
      <c r="N26" s="203">
        <f t="shared" si="8"/>
        <v>-45458.345697959914</v>
      </c>
      <c r="O26" s="202">
        <v>0</v>
      </c>
      <c r="P26" s="202">
        <v>0</v>
      </c>
      <c r="Q26" s="202">
        <v>0</v>
      </c>
      <c r="R26" s="203">
        <f t="shared" si="9"/>
        <v>-45458.345697959914</v>
      </c>
    </row>
    <row r="27" spans="1:18" x14ac:dyDescent="0.2">
      <c r="A27" s="160">
        <v>8</v>
      </c>
      <c r="B27" s="195">
        <f t="shared" si="4"/>
        <v>44774</v>
      </c>
      <c r="C27" s="236">
        <v>44809</v>
      </c>
      <c r="D27" s="236">
        <v>44827</v>
      </c>
      <c r="E27" s="54" t="s">
        <v>21</v>
      </c>
      <c r="F27" s="160">
        <v>9</v>
      </c>
      <c r="G27" s="197">
        <v>4151</v>
      </c>
      <c r="H27" s="198">
        <f t="shared" si="5"/>
        <v>20.982460991879897</v>
      </c>
      <c r="I27" s="198">
        <f t="shared" si="1"/>
        <v>10.792264234856615</v>
      </c>
      <c r="J27" s="199">
        <f t="shared" si="2"/>
        <v>44798.688838889808</v>
      </c>
      <c r="K27" s="206">
        <f t="shared" si="6"/>
        <v>87098.195577293445</v>
      </c>
      <c r="L27" s="205">
        <f t="shared" si="3"/>
        <v>-42299.506738403637</v>
      </c>
      <c r="M27" s="202">
        <f t="shared" si="7"/>
        <v>-2309.8533070411877</v>
      </c>
      <c r="N27" s="203">
        <f t="shared" si="8"/>
        <v>-44609.360045444824</v>
      </c>
      <c r="O27" s="202">
        <v>0</v>
      </c>
      <c r="P27" s="202">
        <v>0</v>
      </c>
      <c r="Q27" s="202">
        <v>0</v>
      </c>
      <c r="R27" s="203">
        <f t="shared" si="9"/>
        <v>-44609.360045444824</v>
      </c>
    </row>
    <row r="28" spans="1:18" x14ac:dyDescent="0.2">
      <c r="A28" s="160">
        <v>9</v>
      </c>
      <c r="B28" s="195">
        <f t="shared" si="4"/>
        <v>44805</v>
      </c>
      <c r="C28" s="236">
        <v>44839</v>
      </c>
      <c r="D28" s="236">
        <v>44859</v>
      </c>
      <c r="E28" s="54" t="s">
        <v>21</v>
      </c>
      <c r="F28" s="160">
        <v>9</v>
      </c>
      <c r="G28" s="197">
        <v>3898</v>
      </c>
      <c r="H28" s="198">
        <f t="shared" si="5"/>
        <v>20.982460991879897</v>
      </c>
      <c r="I28" s="198">
        <f t="shared" si="1"/>
        <v>10.792264234856615</v>
      </c>
      <c r="J28" s="199">
        <f t="shared" si="2"/>
        <v>42068.245987471084</v>
      </c>
      <c r="K28" s="206">
        <f t="shared" si="6"/>
        <v>81789.632946347832</v>
      </c>
      <c r="L28" s="205">
        <f t="shared" si="3"/>
        <v>-39721.386958876748</v>
      </c>
      <c r="M28" s="202">
        <f t="shared" si="7"/>
        <v>-2169.0696677539268</v>
      </c>
      <c r="N28" s="203">
        <f t="shared" si="8"/>
        <v>-41890.456626630672</v>
      </c>
      <c r="O28" s="202">
        <v>0</v>
      </c>
      <c r="P28" s="202">
        <v>0</v>
      </c>
      <c r="Q28" s="202">
        <v>0</v>
      </c>
      <c r="R28" s="203">
        <f t="shared" si="9"/>
        <v>-41890.456626630672</v>
      </c>
    </row>
    <row r="29" spans="1:18" x14ac:dyDescent="0.2">
      <c r="A29" s="124">
        <v>10</v>
      </c>
      <c r="B29" s="195">
        <f t="shared" si="4"/>
        <v>44835</v>
      </c>
      <c r="C29" s="236">
        <v>44868</v>
      </c>
      <c r="D29" s="236">
        <v>44888</v>
      </c>
      <c r="E29" s="54" t="s">
        <v>21</v>
      </c>
      <c r="F29" s="160">
        <v>9</v>
      </c>
      <c r="G29" s="197">
        <v>2760</v>
      </c>
      <c r="H29" s="198">
        <f t="shared" si="5"/>
        <v>20.982460991879897</v>
      </c>
      <c r="I29" s="198">
        <f t="shared" si="1"/>
        <v>10.792264234856615</v>
      </c>
      <c r="J29" s="199">
        <f t="shared" si="2"/>
        <v>29786.649288204258</v>
      </c>
      <c r="K29" s="206">
        <f t="shared" si="6"/>
        <v>57911.592337588518</v>
      </c>
      <c r="L29" s="205">
        <f t="shared" si="3"/>
        <v>-28124.943049384259</v>
      </c>
      <c r="M29" s="202">
        <f t="shared" si="7"/>
        <v>-1535.821519497393</v>
      </c>
      <c r="N29" s="203">
        <f t="shared" si="8"/>
        <v>-29660.764568881652</v>
      </c>
      <c r="O29" s="202">
        <v>0</v>
      </c>
      <c r="P29" s="202">
        <v>0</v>
      </c>
      <c r="Q29" s="202">
        <v>0</v>
      </c>
      <c r="R29" s="203">
        <f t="shared" si="9"/>
        <v>-29660.764568881652</v>
      </c>
    </row>
    <row r="30" spans="1:18" x14ac:dyDescent="0.2">
      <c r="A30" s="160">
        <v>11</v>
      </c>
      <c r="B30" s="195">
        <f t="shared" si="4"/>
        <v>44866</v>
      </c>
      <c r="C30" s="236">
        <v>44900</v>
      </c>
      <c r="D30" s="236">
        <v>44918</v>
      </c>
      <c r="E30" s="54" t="s">
        <v>21</v>
      </c>
      <c r="F30" s="160">
        <v>9</v>
      </c>
      <c r="G30" s="197">
        <v>2561</v>
      </c>
      <c r="H30" s="198">
        <f t="shared" si="5"/>
        <v>20.982460991879897</v>
      </c>
      <c r="I30" s="198">
        <f t="shared" si="1"/>
        <v>10.792264234856615</v>
      </c>
      <c r="J30" s="199">
        <f t="shared" si="2"/>
        <v>27638.988705467793</v>
      </c>
      <c r="K30" s="206">
        <f t="shared" si="6"/>
        <v>53736.08260020442</v>
      </c>
      <c r="L30" s="205">
        <f t="shared" si="3"/>
        <v>-26097.093894736627</v>
      </c>
      <c r="M30" s="202">
        <f t="shared" si="7"/>
        <v>-1425.0865621133416</v>
      </c>
      <c r="N30" s="203">
        <f t="shared" si="8"/>
        <v>-27522.180456849968</v>
      </c>
      <c r="O30" s="202">
        <v>0</v>
      </c>
      <c r="P30" s="202">
        <v>0</v>
      </c>
      <c r="Q30" s="202">
        <v>0</v>
      </c>
      <c r="R30" s="203">
        <f t="shared" si="9"/>
        <v>-27522.180456849968</v>
      </c>
    </row>
    <row r="31" spans="1:18" x14ac:dyDescent="0.2">
      <c r="A31" s="160">
        <v>12</v>
      </c>
      <c r="B31" s="195">
        <f t="shared" si="4"/>
        <v>44896</v>
      </c>
      <c r="C31" s="237">
        <v>44930</v>
      </c>
      <c r="D31" s="238">
        <v>44950</v>
      </c>
      <c r="E31" s="54" t="s">
        <v>21</v>
      </c>
      <c r="F31" s="160">
        <v>9</v>
      </c>
      <c r="G31" s="207">
        <v>3150</v>
      </c>
      <c r="H31" s="208">
        <f t="shared" si="5"/>
        <v>20.982460991879897</v>
      </c>
      <c r="I31" s="208">
        <f t="shared" si="1"/>
        <v>10.792264234856615</v>
      </c>
      <c r="J31" s="209">
        <f t="shared" si="2"/>
        <v>33995.632339798336</v>
      </c>
      <c r="K31" s="210">
        <f t="shared" si="6"/>
        <v>66094.752124421677</v>
      </c>
      <c r="L31" s="211">
        <f t="shared" si="3"/>
        <v>-32099.119784623341</v>
      </c>
      <c r="M31" s="202">
        <f t="shared" si="7"/>
        <v>-1752.8397776872418</v>
      </c>
      <c r="N31" s="203">
        <f t="shared" si="8"/>
        <v>-33851.959562310585</v>
      </c>
      <c r="O31" s="202">
        <v>0</v>
      </c>
      <c r="P31" s="202">
        <v>0</v>
      </c>
      <c r="Q31" s="202">
        <v>0</v>
      </c>
      <c r="R31" s="203">
        <f t="shared" si="9"/>
        <v>-33851.959562310585</v>
      </c>
    </row>
    <row r="32" spans="1:18" x14ac:dyDescent="0.2">
      <c r="A32" s="124">
        <v>1</v>
      </c>
      <c r="B32" s="212">
        <f t="shared" si="4"/>
        <v>44562</v>
      </c>
      <c r="C32" s="213">
        <f t="shared" ref="C32:D43" si="10">+C20</f>
        <v>44595</v>
      </c>
      <c r="D32" s="213">
        <f t="shared" si="10"/>
        <v>44615</v>
      </c>
      <c r="E32" s="214" t="s">
        <v>22</v>
      </c>
      <c r="F32" s="215">
        <v>9</v>
      </c>
      <c r="G32" s="197">
        <v>2921</v>
      </c>
      <c r="H32" s="198">
        <f t="shared" si="5"/>
        <v>20.982460991879897</v>
      </c>
      <c r="I32" s="198">
        <f t="shared" si="1"/>
        <v>10.792264234856615</v>
      </c>
      <c r="J32" s="199">
        <f t="shared" si="2"/>
        <v>31524.203830016173</v>
      </c>
      <c r="K32" s="200">
        <f t="shared" si="6"/>
        <v>61289.768557281182</v>
      </c>
      <c r="L32" s="201">
        <f t="shared" si="3"/>
        <v>-29765.564727265009</v>
      </c>
      <c r="M32" s="202">
        <f t="shared" si="7"/>
        <v>-1625.4111081347407</v>
      </c>
      <c r="N32" s="203">
        <f t="shared" si="8"/>
        <v>-31390.975835399749</v>
      </c>
      <c r="O32" s="202">
        <v>0</v>
      </c>
      <c r="P32" s="202">
        <v>0</v>
      </c>
      <c r="Q32" s="202">
        <v>0</v>
      </c>
      <c r="R32" s="203">
        <f t="shared" si="9"/>
        <v>-31390.975835399749</v>
      </c>
    </row>
    <row r="33" spans="1:18" x14ac:dyDescent="0.2">
      <c r="A33" s="160">
        <v>2</v>
      </c>
      <c r="B33" s="195">
        <f t="shared" si="4"/>
        <v>44593</v>
      </c>
      <c r="C33" s="216">
        <f t="shared" si="10"/>
        <v>44623</v>
      </c>
      <c r="D33" s="216">
        <f t="shared" si="10"/>
        <v>44642</v>
      </c>
      <c r="E33" s="204" t="s">
        <v>22</v>
      </c>
      <c r="F33" s="160">
        <v>9</v>
      </c>
      <c r="G33" s="197">
        <v>2853</v>
      </c>
      <c r="H33" s="198">
        <f t="shared" si="5"/>
        <v>20.982460991879897</v>
      </c>
      <c r="I33" s="198">
        <f t="shared" si="1"/>
        <v>10.792264234856615</v>
      </c>
      <c r="J33" s="199">
        <f t="shared" si="2"/>
        <v>30790.329862045925</v>
      </c>
      <c r="K33" s="200">
        <f t="shared" si="6"/>
        <v>59862.961209833345</v>
      </c>
      <c r="L33" s="201">
        <f t="shared" si="3"/>
        <v>-29072.631347787421</v>
      </c>
      <c r="M33" s="202">
        <f t="shared" si="7"/>
        <v>-1587.5720272195877</v>
      </c>
      <c r="N33" s="203">
        <f t="shared" si="8"/>
        <v>-30660.203375007008</v>
      </c>
      <c r="O33" s="202">
        <v>0</v>
      </c>
      <c r="P33" s="202">
        <v>0</v>
      </c>
      <c r="Q33" s="202">
        <v>0</v>
      </c>
      <c r="R33" s="203">
        <f t="shared" si="9"/>
        <v>-30660.203375007008</v>
      </c>
    </row>
    <row r="34" spans="1:18" x14ac:dyDescent="0.2">
      <c r="A34" s="160">
        <v>3</v>
      </c>
      <c r="B34" s="195">
        <f t="shared" si="4"/>
        <v>44621</v>
      </c>
      <c r="C34" s="216">
        <f t="shared" si="10"/>
        <v>44656</v>
      </c>
      <c r="D34" s="216">
        <f t="shared" si="10"/>
        <v>44676</v>
      </c>
      <c r="E34" s="204" t="s">
        <v>22</v>
      </c>
      <c r="F34" s="160">
        <v>9</v>
      </c>
      <c r="G34" s="197">
        <v>2560</v>
      </c>
      <c r="H34" s="198">
        <f t="shared" si="5"/>
        <v>20.982460991879897</v>
      </c>
      <c r="I34" s="198">
        <f t="shared" si="1"/>
        <v>10.792264234856615</v>
      </c>
      <c r="J34" s="199">
        <f t="shared" si="2"/>
        <v>27628.196441232936</v>
      </c>
      <c r="K34" s="200">
        <f t="shared" ref="K34:K93" si="11">+$G34*H34</f>
        <v>53715.100139212533</v>
      </c>
      <c r="L34" s="201">
        <f t="shared" si="3"/>
        <v>-26086.903697979596</v>
      </c>
      <c r="M34" s="202">
        <f t="shared" si="7"/>
        <v>-1424.5301050410601</v>
      </c>
      <c r="N34" s="203">
        <f t="shared" si="8"/>
        <v>-27511.433803020656</v>
      </c>
      <c r="O34" s="202">
        <v>0</v>
      </c>
      <c r="P34" s="202">
        <v>0</v>
      </c>
      <c r="Q34" s="202">
        <v>0</v>
      </c>
      <c r="R34" s="203">
        <f t="shared" si="9"/>
        <v>-27511.433803020656</v>
      </c>
    </row>
    <row r="35" spans="1:18" x14ac:dyDescent="0.2">
      <c r="A35" s="124">
        <v>4</v>
      </c>
      <c r="B35" s="195">
        <f t="shared" si="4"/>
        <v>44652</v>
      </c>
      <c r="C35" s="216">
        <f t="shared" si="10"/>
        <v>44685</v>
      </c>
      <c r="D35" s="216">
        <f t="shared" si="10"/>
        <v>44705</v>
      </c>
      <c r="E35" s="204" t="s">
        <v>22</v>
      </c>
      <c r="F35" s="160">
        <v>9</v>
      </c>
      <c r="G35" s="197">
        <v>2434</v>
      </c>
      <c r="H35" s="198">
        <f t="shared" si="5"/>
        <v>20.982460991879897</v>
      </c>
      <c r="I35" s="198">
        <f t="shared" si="1"/>
        <v>10.792264234856615</v>
      </c>
      <c r="J35" s="199">
        <f t="shared" si="2"/>
        <v>26268.371147641003</v>
      </c>
      <c r="K35" s="200">
        <f t="shared" si="11"/>
        <v>51071.31005423567</v>
      </c>
      <c r="L35" s="201">
        <f t="shared" ref="L35:L57" si="12">+J35-K35</f>
        <v>-24802.938906594667</v>
      </c>
      <c r="M35" s="202">
        <f t="shared" si="7"/>
        <v>-1354.4165139335705</v>
      </c>
      <c r="N35" s="203">
        <f t="shared" si="8"/>
        <v>-26157.355420528238</v>
      </c>
      <c r="O35" s="202">
        <v>0</v>
      </c>
      <c r="P35" s="202">
        <v>0</v>
      </c>
      <c r="Q35" s="202">
        <v>0</v>
      </c>
      <c r="R35" s="203">
        <f t="shared" si="9"/>
        <v>-26157.355420528238</v>
      </c>
    </row>
    <row r="36" spans="1:18" x14ac:dyDescent="0.2">
      <c r="A36" s="160">
        <v>5</v>
      </c>
      <c r="B36" s="195">
        <f t="shared" si="4"/>
        <v>44682</v>
      </c>
      <c r="C36" s="216">
        <f t="shared" si="10"/>
        <v>44715</v>
      </c>
      <c r="D36" s="216">
        <f t="shared" si="10"/>
        <v>44735</v>
      </c>
      <c r="E36" s="54" t="s">
        <v>22</v>
      </c>
      <c r="F36" s="160">
        <v>9</v>
      </c>
      <c r="G36" s="197">
        <v>3117</v>
      </c>
      <c r="H36" s="198">
        <f t="shared" si="5"/>
        <v>20.982460991879897</v>
      </c>
      <c r="I36" s="198">
        <f t="shared" si="1"/>
        <v>10.792264234856615</v>
      </c>
      <c r="J36" s="199">
        <f t="shared" si="2"/>
        <v>33639.487620048072</v>
      </c>
      <c r="K36" s="200">
        <f t="shared" si="11"/>
        <v>65402.330911689642</v>
      </c>
      <c r="L36" s="201">
        <f t="shared" si="12"/>
        <v>-31762.84329164157</v>
      </c>
      <c r="M36" s="202">
        <f t="shared" si="7"/>
        <v>-1734.476694301947</v>
      </c>
      <c r="N36" s="203">
        <f t="shared" si="8"/>
        <v>-33497.319985943519</v>
      </c>
      <c r="O36" s="202">
        <v>0</v>
      </c>
      <c r="P36" s="202">
        <v>0</v>
      </c>
      <c r="Q36" s="202">
        <v>0</v>
      </c>
      <c r="R36" s="203">
        <f t="shared" si="9"/>
        <v>-33497.319985943519</v>
      </c>
    </row>
    <row r="37" spans="1:18" x14ac:dyDescent="0.2">
      <c r="A37" s="160">
        <v>6</v>
      </c>
      <c r="B37" s="195">
        <f t="shared" si="4"/>
        <v>44713</v>
      </c>
      <c r="C37" s="216">
        <f t="shared" si="10"/>
        <v>44747</v>
      </c>
      <c r="D37" s="216">
        <f t="shared" si="10"/>
        <v>44767</v>
      </c>
      <c r="E37" s="54" t="s">
        <v>22</v>
      </c>
      <c r="F37" s="160">
        <v>9</v>
      </c>
      <c r="G37" s="197">
        <v>3536</v>
      </c>
      <c r="H37" s="198">
        <f t="shared" si="5"/>
        <v>20.982460991879897</v>
      </c>
      <c r="I37" s="198">
        <f t="shared" si="1"/>
        <v>10.792264234856615</v>
      </c>
      <c r="J37" s="199">
        <f t="shared" si="2"/>
        <v>38161.446334452994</v>
      </c>
      <c r="K37" s="200">
        <f t="shared" si="11"/>
        <v>74193.982067287317</v>
      </c>
      <c r="L37" s="205">
        <f t="shared" si="12"/>
        <v>-36032.535732834323</v>
      </c>
      <c r="M37" s="202">
        <f t="shared" si="7"/>
        <v>-1967.6322075879643</v>
      </c>
      <c r="N37" s="203">
        <f t="shared" si="8"/>
        <v>-38000.167940422289</v>
      </c>
      <c r="O37" s="202">
        <v>0</v>
      </c>
      <c r="P37" s="202">
        <v>0</v>
      </c>
      <c r="Q37" s="202">
        <v>0</v>
      </c>
      <c r="R37" s="203">
        <f t="shared" si="9"/>
        <v>-38000.167940422289</v>
      </c>
    </row>
    <row r="38" spans="1:18" x14ac:dyDescent="0.2">
      <c r="A38" s="124">
        <v>7</v>
      </c>
      <c r="B38" s="195">
        <f t="shared" si="4"/>
        <v>44743</v>
      </c>
      <c r="C38" s="216">
        <f t="shared" si="10"/>
        <v>44776</v>
      </c>
      <c r="D38" s="216">
        <f t="shared" si="10"/>
        <v>44796</v>
      </c>
      <c r="E38" s="54" t="s">
        <v>22</v>
      </c>
      <c r="F38" s="160">
        <v>9</v>
      </c>
      <c r="G38" s="197">
        <v>3696</v>
      </c>
      <c r="H38" s="198">
        <f t="shared" si="5"/>
        <v>20.982460991879897</v>
      </c>
      <c r="I38" s="198">
        <f t="shared" si="1"/>
        <v>10.792264234856615</v>
      </c>
      <c r="J38" s="199">
        <f t="shared" si="2"/>
        <v>39888.208612030052</v>
      </c>
      <c r="K38" s="206">
        <f t="shared" si="11"/>
        <v>77551.175825988103</v>
      </c>
      <c r="L38" s="205">
        <f t="shared" si="12"/>
        <v>-37662.967213958051</v>
      </c>
      <c r="M38" s="202">
        <f t="shared" si="7"/>
        <v>-2056.6653391530308</v>
      </c>
      <c r="N38" s="203">
        <f t="shared" si="8"/>
        <v>-39719.632553111078</v>
      </c>
      <c r="O38" s="202">
        <v>0</v>
      </c>
      <c r="P38" s="202">
        <v>0</v>
      </c>
      <c r="Q38" s="202">
        <v>0</v>
      </c>
      <c r="R38" s="203">
        <f t="shared" si="9"/>
        <v>-39719.632553111078</v>
      </c>
    </row>
    <row r="39" spans="1:18" x14ac:dyDescent="0.2">
      <c r="A39" s="160">
        <v>8</v>
      </c>
      <c r="B39" s="195">
        <f t="shared" si="4"/>
        <v>44774</v>
      </c>
      <c r="C39" s="216">
        <f t="shared" si="10"/>
        <v>44809</v>
      </c>
      <c r="D39" s="216">
        <f t="shared" si="10"/>
        <v>44827</v>
      </c>
      <c r="E39" s="54" t="s">
        <v>22</v>
      </c>
      <c r="F39" s="160">
        <v>9</v>
      </c>
      <c r="G39" s="197">
        <v>3632</v>
      </c>
      <c r="H39" s="198">
        <f t="shared" si="5"/>
        <v>20.982460991879897</v>
      </c>
      <c r="I39" s="198">
        <f t="shared" si="1"/>
        <v>10.792264234856615</v>
      </c>
      <c r="J39" s="199">
        <f t="shared" si="2"/>
        <v>39197.50370099923</v>
      </c>
      <c r="K39" s="206">
        <f t="shared" si="11"/>
        <v>76208.298322507791</v>
      </c>
      <c r="L39" s="205">
        <f t="shared" si="12"/>
        <v>-37010.794621508561</v>
      </c>
      <c r="M39" s="202">
        <f t="shared" si="7"/>
        <v>-2021.0520865270041</v>
      </c>
      <c r="N39" s="203">
        <f t="shared" si="8"/>
        <v>-39031.846708035562</v>
      </c>
      <c r="O39" s="202">
        <v>0</v>
      </c>
      <c r="P39" s="202">
        <v>0</v>
      </c>
      <c r="Q39" s="202">
        <v>0</v>
      </c>
      <c r="R39" s="203">
        <f t="shared" si="9"/>
        <v>-39031.846708035562</v>
      </c>
    </row>
    <row r="40" spans="1:18" x14ac:dyDescent="0.2">
      <c r="A40" s="160">
        <v>9</v>
      </c>
      <c r="B40" s="195">
        <f t="shared" si="4"/>
        <v>44805</v>
      </c>
      <c r="C40" s="216">
        <f t="shared" si="10"/>
        <v>44839</v>
      </c>
      <c r="D40" s="216">
        <f t="shared" si="10"/>
        <v>44859</v>
      </c>
      <c r="E40" s="54" t="s">
        <v>22</v>
      </c>
      <c r="F40" s="160">
        <v>9</v>
      </c>
      <c r="G40" s="197">
        <v>3337</v>
      </c>
      <c r="H40" s="198">
        <f t="shared" si="5"/>
        <v>20.982460991879897</v>
      </c>
      <c r="I40" s="198">
        <f t="shared" si="1"/>
        <v>10.792264234856615</v>
      </c>
      <c r="J40" s="199">
        <f t="shared" si="2"/>
        <v>36013.785751716525</v>
      </c>
      <c r="K40" s="206">
        <f t="shared" si="11"/>
        <v>70018.472329903219</v>
      </c>
      <c r="L40" s="205">
        <f t="shared" si="12"/>
        <v>-34004.686578186695</v>
      </c>
      <c r="M40" s="202">
        <f t="shared" si="7"/>
        <v>-1856.897250203913</v>
      </c>
      <c r="N40" s="203">
        <f t="shared" si="8"/>
        <v>-35861.583828390605</v>
      </c>
      <c r="O40" s="202">
        <v>0</v>
      </c>
      <c r="P40" s="202">
        <v>0</v>
      </c>
      <c r="Q40" s="202">
        <v>0</v>
      </c>
      <c r="R40" s="203">
        <f t="shared" si="9"/>
        <v>-35861.583828390605</v>
      </c>
    </row>
    <row r="41" spans="1:18" x14ac:dyDescent="0.2">
      <c r="A41" s="124">
        <v>10</v>
      </c>
      <c r="B41" s="195">
        <f t="shared" si="4"/>
        <v>44835</v>
      </c>
      <c r="C41" s="216">
        <f t="shared" si="10"/>
        <v>44868</v>
      </c>
      <c r="D41" s="216">
        <f t="shared" si="10"/>
        <v>44888</v>
      </c>
      <c r="E41" s="54" t="s">
        <v>22</v>
      </c>
      <c r="F41" s="160">
        <v>9</v>
      </c>
      <c r="G41" s="197">
        <v>2496</v>
      </c>
      <c r="H41" s="198">
        <f t="shared" si="5"/>
        <v>20.982460991879897</v>
      </c>
      <c r="I41" s="198">
        <f t="shared" si="1"/>
        <v>10.792264234856615</v>
      </c>
      <c r="J41" s="199">
        <f t="shared" si="2"/>
        <v>26937.491530202111</v>
      </c>
      <c r="K41" s="206">
        <f t="shared" si="11"/>
        <v>52372.222635732222</v>
      </c>
      <c r="L41" s="205">
        <f t="shared" si="12"/>
        <v>-25434.731105530111</v>
      </c>
      <c r="M41" s="202">
        <f t="shared" si="7"/>
        <v>-1388.9168524150334</v>
      </c>
      <c r="N41" s="203">
        <f t="shared" si="8"/>
        <v>-26823.647957945144</v>
      </c>
      <c r="O41" s="202">
        <v>0</v>
      </c>
      <c r="P41" s="202">
        <v>0</v>
      </c>
      <c r="Q41" s="202">
        <v>0</v>
      </c>
      <c r="R41" s="203">
        <f t="shared" si="9"/>
        <v>-26823.647957945144</v>
      </c>
    </row>
    <row r="42" spans="1:18" x14ac:dyDescent="0.2">
      <c r="A42" s="160">
        <v>11</v>
      </c>
      <c r="B42" s="195">
        <f t="shared" si="4"/>
        <v>44866</v>
      </c>
      <c r="C42" s="216">
        <f t="shared" si="10"/>
        <v>44900</v>
      </c>
      <c r="D42" s="216">
        <f t="shared" si="10"/>
        <v>44918</v>
      </c>
      <c r="E42" s="54" t="s">
        <v>22</v>
      </c>
      <c r="F42" s="160">
        <v>9</v>
      </c>
      <c r="G42" s="197">
        <v>2518</v>
      </c>
      <c r="H42" s="198">
        <f t="shared" si="5"/>
        <v>20.982460991879897</v>
      </c>
      <c r="I42" s="198">
        <f t="shared" si="1"/>
        <v>10.792264234856615</v>
      </c>
      <c r="J42" s="199">
        <f t="shared" si="2"/>
        <v>27174.921343368958</v>
      </c>
      <c r="K42" s="206">
        <f t="shared" si="11"/>
        <v>52833.836777553581</v>
      </c>
      <c r="L42" s="205">
        <f t="shared" si="12"/>
        <v>-25658.915434184622</v>
      </c>
      <c r="M42" s="202">
        <f t="shared" si="7"/>
        <v>-1401.1589080052302</v>
      </c>
      <c r="N42" s="203">
        <f t="shared" si="8"/>
        <v>-27060.074342189851</v>
      </c>
      <c r="O42" s="202">
        <v>0</v>
      </c>
      <c r="P42" s="202">
        <v>0</v>
      </c>
      <c r="Q42" s="202">
        <v>0</v>
      </c>
      <c r="R42" s="203">
        <f t="shared" si="9"/>
        <v>-27060.074342189851</v>
      </c>
    </row>
    <row r="43" spans="1:18" x14ac:dyDescent="0.2">
      <c r="A43" s="160">
        <v>12</v>
      </c>
      <c r="B43" s="195">
        <f t="shared" si="4"/>
        <v>44896</v>
      </c>
      <c r="C43" s="216">
        <f t="shared" si="10"/>
        <v>44930</v>
      </c>
      <c r="D43" s="216">
        <f t="shared" si="10"/>
        <v>44950</v>
      </c>
      <c r="E43" s="54" t="s">
        <v>22</v>
      </c>
      <c r="F43" s="160">
        <v>9</v>
      </c>
      <c r="G43" s="207">
        <v>3399</v>
      </c>
      <c r="H43" s="208">
        <f t="shared" si="5"/>
        <v>20.982460991879897</v>
      </c>
      <c r="I43" s="208">
        <f t="shared" si="1"/>
        <v>10.792264234856615</v>
      </c>
      <c r="J43" s="209">
        <f t="shared" si="2"/>
        <v>36682.906134277633</v>
      </c>
      <c r="K43" s="210">
        <f t="shared" si="11"/>
        <v>71319.384911399771</v>
      </c>
      <c r="L43" s="211">
        <f t="shared" si="12"/>
        <v>-34636.478777122138</v>
      </c>
      <c r="M43" s="202">
        <f t="shared" si="7"/>
        <v>-1891.3975886853761</v>
      </c>
      <c r="N43" s="203">
        <f t="shared" si="8"/>
        <v>-36527.876365807511</v>
      </c>
      <c r="O43" s="202">
        <v>0</v>
      </c>
      <c r="P43" s="202">
        <v>0</v>
      </c>
      <c r="Q43" s="202">
        <v>0</v>
      </c>
      <c r="R43" s="203">
        <f t="shared" si="9"/>
        <v>-36527.876365807511</v>
      </c>
    </row>
    <row r="44" spans="1:18" x14ac:dyDescent="0.2">
      <c r="A44" s="124">
        <v>1</v>
      </c>
      <c r="B44" s="212">
        <f t="shared" ref="B44:B55" si="13">DATE($R$1,A44,1)</f>
        <v>44562</v>
      </c>
      <c r="C44" s="213">
        <f t="shared" ref="C44:D55" si="14">+C32</f>
        <v>44595</v>
      </c>
      <c r="D44" s="213">
        <f t="shared" si="14"/>
        <v>44615</v>
      </c>
      <c r="E44" s="214" t="s">
        <v>80</v>
      </c>
      <c r="F44" s="215">
        <v>9</v>
      </c>
      <c r="G44" s="197">
        <v>163</v>
      </c>
      <c r="H44" s="198">
        <f t="shared" si="5"/>
        <v>20.982460991879897</v>
      </c>
      <c r="I44" s="198">
        <f t="shared" si="1"/>
        <v>10.792264234856615</v>
      </c>
      <c r="J44" s="202">
        <f t="shared" ref="J44:J55" si="15">+$G44*I44</f>
        <v>1759.1390702816284</v>
      </c>
      <c r="K44" s="206">
        <f t="shared" ref="K44:K55" si="16">+$G44*H44</f>
        <v>3420.1411416764231</v>
      </c>
      <c r="L44" s="205">
        <f t="shared" ref="L44:L55" si="17">+J44-K44</f>
        <v>-1661.0020713947947</v>
      </c>
      <c r="M44" s="202">
        <f t="shared" si="7"/>
        <v>-90.702502781911249</v>
      </c>
      <c r="N44" s="203">
        <f t="shared" si="8"/>
        <v>-1751.704574176706</v>
      </c>
      <c r="O44" s="202">
        <v>0</v>
      </c>
      <c r="P44" s="202">
        <v>0</v>
      </c>
      <c r="Q44" s="202">
        <v>0</v>
      </c>
      <c r="R44" s="203">
        <f t="shared" si="9"/>
        <v>-1751.704574176706</v>
      </c>
    </row>
    <row r="45" spans="1:18" x14ac:dyDescent="0.2">
      <c r="A45" s="160">
        <v>2</v>
      </c>
      <c r="B45" s="195">
        <f t="shared" si="13"/>
        <v>44593</v>
      </c>
      <c r="C45" s="216">
        <f t="shared" si="14"/>
        <v>44623</v>
      </c>
      <c r="D45" s="216">
        <f t="shared" si="14"/>
        <v>44642</v>
      </c>
      <c r="E45" s="204" t="s">
        <v>80</v>
      </c>
      <c r="F45" s="160">
        <v>9</v>
      </c>
      <c r="G45" s="197">
        <v>155</v>
      </c>
      <c r="H45" s="198">
        <f t="shared" si="5"/>
        <v>20.982460991879897</v>
      </c>
      <c r="I45" s="198">
        <f t="shared" si="1"/>
        <v>10.792264234856615</v>
      </c>
      <c r="J45" s="202">
        <f t="shared" si="15"/>
        <v>1672.8009564027755</v>
      </c>
      <c r="K45" s="206">
        <f t="shared" si="16"/>
        <v>3252.2814537413842</v>
      </c>
      <c r="L45" s="205">
        <f t="shared" si="17"/>
        <v>-1579.4804973386088</v>
      </c>
      <c r="M45" s="202">
        <f t="shared" si="7"/>
        <v>-86.250846203657929</v>
      </c>
      <c r="N45" s="203">
        <f t="shared" si="8"/>
        <v>-1665.7313435422666</v>
      </c>
      <c r="O45" s="202">
        <v>0</v>
      </c>
      <c r="P45" s="202">
        <v>0</v>
      </c>
      <c r="Q45" s="202">
        <v>0</v>
      </c>
      <c r="R45" s="203">
        <f t="shared" si="9"/>
        <v>-1665.7313435422666</v>
      </c>
    </row>
    <row r="46" spans="1:18" x14ac:dyDescent="0.2">
      <c r="A46" s="160">
        <v>3</v>
      </c>
      <c r="B46" s="195">
        <f t="shared" si="13"/>
        <v>44621</v>
      </c>
      <c r="C46" s="216">
        <f t="shared" si="14"/>
        <v>44656</v>
      </c>
      <c r="D46" s="216">
        <f t="shared" si="14"/>
        <v>44676</v>
      </c>
      <c r="E46" s="204" t="s">
        <v>80</v>
      </c>
      <c r="F46" s="160">
        <v>9</v>
      </c>
      <c r="G46" s="197">
        <v>141</v>
      </c>
      <c r="H46" s="198">
        <f t="shared" si="5"/>
        <v>20.982460991879897</v>
      </c>
      <c r="I46" s="198">
        <f t="shared" si="1"/>
        <v>10.792264234856615</v>
      </c>
      <c r="J46" s="202">
        <f t="shared" si="15"/>
        <v>1521.7092571147828</v>
      </c>
      <c r="K46" s="206">
        <f t="shared" si="16"/>
        <v>2958.5269998550657</v>
      </c>
      <c r="L46" s="205">
        <f t="shared" si="17"/>
        <v>-1436.8177427402829</v>
      </c>
      <c r="M46" s="202">
        <f t="shared" si="7"/>
        <v>-78.460447191714636</v>
      </c>
      <c r="N46" s="203">
        <f t="shared" si="8"/>
        <v>-1515.2781899319975</v>
      </c>
      <c r="O46" s="202">
        <v>0</v>
      </c>
      <c r="P46" s="202">
        <v>0</v>
      </c>
      <c r="Q46" s="202">
        <v>0</v>
      </c>
      <c r="R46" s="203">
        <f t="shared" si="9"/>
        <v>-1515.2781899319975</v>
      </c>
    </row>
    <row r="47" spans="1:18" x14ac:dyDescent="0.2">
      <c r="A47" s="124">
        <v>4</v>
      </c>
      <c r="B47" s="195">
        <f t="shared" si="13"/>
        <v>44652</v>
      </c>
      <c r="C47" s="216">
        <f t="shared" si="14"/>
        <v>44685</v>
      </c>
      <c r="D47" s="216">
        <f t="shared" si="14"/>
        <v>44705</v>
      </c>
      <c r="E47" s="204" t="s">
        <v>80</v>
      </c>
      <c r="F47" s="160">
        <v>9</v>
      </c>
      <c r="G47" s="197">
        <v>92</v>
      </c>
      <c r="H47" s="198">
        <f t="shared" si="5"/>
        <v>20.982460991879897</v>
      </c>
      <c r="I47" s="198">
        <f t="shared" si="1"/>
        <v>10.792264234856615</v>
      </c>
      <c r="J47" s="202">
        <f t="shared" si="15"/>
        <v>992.88830960680866</v>
      </c>
      <c r="K47" s="206">
        <f t="shared" si="16"/>
        <v>1930.3864112529504</v>
      </c>
      <c r="L47" s="205">
        <f t="shared" si="17"/>
        <v>-937.49810164614178</v>
      </c>
      <c r="M47" s="202">
        <f t="shared" si="7"/>
        <v>-51.194050649913095</v>
      </c>
      <c r="N47" s="203">
        <f t="shared" si="8"/>
        <v>-988.69215229605493</v>
      </c>
      <c r="O47" s="202">
        <v>0</v>
      </c>
      <c r="P47" s="202">
        <v>0</v>
      </c>
      <c r="Q47" s="202">
        <v>0</v>
      </c>
      <c r="R47" s="203">
        <f t="shared" si="9"/>
        <v>-988.69215229605493</v>
      </c>
    </row>
    <row r="48" spans="1:18" x14ac:dyDescent="0.2">
      <c r="A48" s="160">
        <v>5</v>
      </c>
      <c r="B48" s="195">
        <f t="shared" si="13"/>
        <v>44682</v>
      </c>
      <c r="C48" s="216">
        <f t="shared" si="14"/>
        <v>44715</v>
      </c>
      <c r="D48" s="216">
        <f t="shared" si="14"/>
        <v>44735</v>
      </c>
      <c r="E48" s="204" t="s">
        <v>80</v>
      </c>
      <c r="F48" s="160">
        <v>9</v>
      </c>
      <c r="G48" s="197">
        <v>131</v>
      </c>
      <c r="H48" s="198">
        <f t="shared" si="5"/>
        <v>20.982460991879897</v>
      </c>
      <c r="I48" s="198">
        <f t="shared" si="1"/>
        <v>10.792264234856615</v>
      </c>
      <c r="J48" s="202">
        <f t="shared" si="15"/>
        <v>1413.7866147662166</v>
      </c>
      <c r="K48" s="206">
        <f t="shared" si="16"/>
        <v>2748.7023899362666</v>
      </c>
      <c r="L48" s="205">
        <f t="shared" si="17"/>
        <v>-1334.91577517005</v>
      </c>
      <c r="M48" s="202">
        <f t="shared" si="7"/>
        <v>-72.895876468897995</v>
      </c>
      <c r="N48" s="203">
        <f t="shared" si="8"/>
        <v>-1407.811651638948</v>
      </c>
      <c r="O48" s="202">
        <v>0</v>
      </c>
      <c r="P48" s="202">
        <v>0</v>
      </c>
      <c r="Q48" s="202">
        <v>0</v>
      </c>
      <c r="R48" s="203">
        <f t="shared" si="9"/>
        <v>-1407.811651638948</v>
      </c>
    </row>
    <row r="49" spans="1:18" x14ac:dyDescent="0.2">
      <c r="A49" s="160">
        <v>6</v>
      </c>
      <c r="B49" s="195">
        <f t="shared" si="13"/>
        <v>44713</v>
      </c>
      <c r="C49" s="216">
        <f t="shared" si="14"/>
        <v>44747</v>
      </c>
      <c r="D49" s="216">
        <f t="shared" si="14"/>
        <v>44767</v>
      </c>
      <c r="E49" s="204" t="s">
        <v>80</v>
      </c>
      <c r="F49" s="160">
        <v>9</v>
      </c>
      <c r="G49" s="197">
        <v>152</v>
      </c>
      <c r="H49" s="198">
        <f t="shared" si="5"/>
        <v>20.982460991879897</v>
      </c>
      <c r="I49" s="198">
        <f t="shared" si="1"/>
        <v>10.792264234856615</v>
      </c>
      <c r="J49" s="202">
        <f t="shared" si="15"/>
        <v>1640.4241636982056</v>
      </c>
      <c r="K49" s="206">
        <f t="shared" si="16"/>
        <v>3189.3340707657444</v>
      </c>
      <c r="L49" s="205">
        <f t="shared" si="17"/>
        <v>-1548.9099070675388</v>
      </c>
      <c r="M49" s="202">
        <f t="shared" si="7"/>
        <v>-84.58147498681295</v>
      </c>
      <c r="N49" s="203">
        <f t="shared" si="8"/>
        <v>-1633.4913820543518</v>
      </c>
      <c r="O49" s="202">
        <v>0</v>
      </c>
      <c r="P49" s="202">
        <v>0</v>
      </c>
      <c r="Q49" s="202">
        <v>0</v>
      </c>
      <c r="R49" s="203">
        <f t="shared" si="9"/>
        <v>-1633.4913820543518</v>
      </c>
    </row>
    <row r="50" spans="1:18" x14ac:dyDescent="0.2">
      <c r="A50" s="124">
        <v>7</v>
      </c>
      <c r="B50" s="195">
        <f t="shared" si="13"/>
        <v>44743</v>
      </c>
      <c r="C50" s="216">
        <f t="shared" si="14"/>
        <v>44776</v>
      </c>
      <c r="D50" s="216">
        <f t="shared" si="14"/>
        <v>44796</v>
      </c>
      <c r="E50" s="204" t="s">
        <v>80</v>
      </c>
      <c r="F50" s="160">
        <v>9</v>
      </c>
      <c r="G50" s="197">
        <v>149</v>
      </c>
      <c r="H50" s="198">
        <f t="shared" si="5"/>
        <v>20.982460991879897</v>
      </c>
      <c r="I50" s="198">
        <f t="shared" si="1"/>
        <v>10.792264234856615</v>
      </c>
      <c r="J50" s="202">
        <f t="shared" si="15"/>
        <v>1608.0473709936357</v>
      </c>
      <c r="K50" s="206">
        <f t="shared" si="16"/>
        <v>3126.3866877901046</v>
      </c>
      <c r="L50" s="205">
        <f t="shared" si="17"/>
        <v>-1518.3393167964689</v>
      </c>
      <c r="M50" s="202">
        <f t="shared" si="7"/>
        <v>-82.912103769967956</v>
      </c>
      <c r="N50" s="203">
        <f t="shared" si="8"/>
        <v>-1601.2514205664368</v>
      </c>
      <c r="O50" s="202">
        <v>0</v>
      </c>
      <c r="P50" s="202">
        <v>0</v>
      </c>
      <c r="Q50" s="202">
        <v>0</v>
      </c>
      <c r="R50" s="203">
        <f t="shared" si="9"/>
        <v>-1601.2514205664368</v>
      </c>
    </row>
    <row r="51" spans="1:18" x14ac:dyDescent="0.2">
      <c r="A51" s="160">
        <v>8</v>
      </c>
      <c r="B51" s="195">
        <f t="shared" si="13"/>
        <v>44774</v>
      </c>
      <c r="C51" s="216">
        <f t="shared" si="14"/>
        <v>44809</v>
      </c>
      <c r="D51" s="216">
        <f t="shared" si="14"/>
        <v>44827</v>
      </c>
      <c r="E51" s="204" t="s">
        <v>80</v>
      </c>
      <c r="F51" s="160">
        <v>9</v>
      </c>
      <c r="G51" s="197">
        <v>137</v>
      </c>
      <c r="H51" s="198">
        <f t="shared" si="5"/>
        <v>20.982460991879897</v>
      </c>
      <c r="I51" s="198">
        <f t="shared" si="1"/>
        <v>10.792264234856615</v>
      </c>
      <c r="J51" s="202">
        <f t="shared" si="15"/>
        <v>1478.5402001753564</v>
      </c>
      <c r="K51" s="206">
        <f t="shared" si="16"/>
        <v>2874.5971558875458</v>
      </c>
      <c r="L51" s="205">
        <f t="shared" si="17"/>
        <v>-1396.0569557121894</v>
      </c>
      <c r="M51" s="202">
        <f t="shared" si="7"/>
        <v>-76.234618902587982</v>
      </c>
      <c r="N51" s="203">
        <f t="shared" si="8"/>
        <v>-1472.2915746147773</v>
      </c>
      <c r="O51" s="202">
        <v>0</v>
      </c>
      <c r="P51" s="202">
        <v>0</v>
      </c>
      <c r="Q51" s="202">
        <v>0</v>
      </c>
      <c r="R51" s="203">
        <f t="shared" si="9"/>
        <v>-1472.2915746147773</v>
      </c>
    </row>
    <row r="52" spans="1:18" x14ac:dyDescent="0.2">
      <c r="A52" s="160">
        <v>9</v>
      </c>
      <c r="B52" s="195">
        <f t="shared" si="13"/>
        <v>44805</v>
      </c>
      <c r="C52" s="216">
        <f t="shared" si="14"/>
        <v>44839</v>
      </c>
      <c r="D52" s="216">
        <f t="shared" si="14"/>
        <v>44859</v>
      </c>
      <c r="E52" s="204" t="s">
        <v>80</v>
      </c>
      <c r="F52" s="160">
        <v>9</v>
      </c>
      <c r="G52" s="197">
        <v>136</v>
      </c>
      <c r="H52" s="198">
        <f t="shared" si="5"/>
        <v>20.982460991879897</v>
      </c>
      <c r="I52" s="198">
        <f t="shared" si="1"/>
        <v>10.792264234856615</v>
      </c>
      <c r="J52" s="202">
        <f t="shared" si="15"/>
        <v>1467.7479359404997</v>
      </c>
      <c r="K52" s="206">
        <f t="shared" si="16"/>
        <v>2853.6146948956662</v>
      </c>
      <c r="L52" s="205">
        <f t="shared" si="17"/>
        <v>-1385.8667589551665</v>
      </c>
      <c r="M52" s="202">
        <f t="shared" si="7"/>
        <v>-75.678161830306323</v>
      </c>
      <c r="N52" s="203">
        <f t="shared" si="8"/>
        <v>-1461.5449207854729</v>
      </c>
      <c r="O52" s="202">
        <v>0</v>
      </c>
      <c r="P52" s="202">
        <v>0</v>
      </c>
      <c r="Q52" s="202">
        <v>0</v>
      </c>
      <c r="R52" s="203">
        <f t="shared" si="9"/>
        <v>-1461.5449207854729</v>
      </c>
    </row>
    <row r="53" spans="1:18" x14ac:dyDescent="0.2">
      <c r="A53" s="124">
        <v>10</v>
      </c>
      <c r="B53" s="195">
        <f t="shared" si="13"/>
        <v>44835</v>
      </c>
      <c r="C53" s="216">
        <f t="shared" si="14"/>
        <v>44868</v>
      </c>
      <c r="D53" s="216">
        <f t="shared" si="14"/>
        <v>44888</v>
      </c>
      <c r="E53" s="204" t="s">
        <v>80</v>
      </c>
      <c r="F53" s="160">
        <v>9</v>
      </c>
      <c r="G53" s="197">
        <v>91</v>
      </c>
      <c r="H53" s="198">
        <f t="shared" si="5"/>
        <v>20.982460991879897</v>
      </c>
      <c r="I53" s="198">
        <f t="shared" si="1"/>
        <v>10.792264234856615</v>
      </c>
      <c r="J53" s="202">
        <f t="shared" si="15"/>
        <v>982.09604537195196</v>
      </c>
      <c r="K53" s="206">
        <f t="shared" si="16"/>
        <v>1909.4039502610706</v>
      </c>
      <c r="L53" s="205">
        <f t="shared" si="17"/>
        <v>-927.30790488911862</v>
      </c>
      <c r="M53" s="202">
        <f t="shared" si="7"/>
        <v>-50.637593577631428</v>
      </c>
      <c r="N53" s="203">
        <f t="shared" si="8"/>
        <v>-977.94549846675</v>
      </c>
      <c r="O53" s="202">
        <v>0</v>
      </c>
      <c r="P53" s="202">
        <v>0</v>
      </c>
      <c r="Q53" s="202">
        <v>0</v>
      </c>
      <c r="R53" s="203">
        <f t="shared" si="9"/>
        <v>-977.94549846675</v>
      </c>
    </row>
    <row r="54" spans="1:18" x14ac:dyDescent="0.2">
      <c r="A54" s="160">
        <v>11</v>
      </c>
      <c r="B54" s="195">
        <f t="shared" si="13"/>
        <v>44866</v>
      </c>
      <c r="C54" s="216">
        <f t="shared" si="14"/>
        <v>44900</v>
      </c>
      <c r="D54" s="216">
        <f t="shared" si="14"/>
        <v>44918</v>
      </c>
      <c r="E54" s="204" t="s">
        <v>80</v>
      </c>
      <c r="F54" s="160">
        <v>9</v>
      </c>
      <c r="G54" s="197">
        <v>113</v>
      </c>
      <c r="H54" s="198">
        <f t="shared" si="5"/>
        <v>20.982460991879897</v>
      </c>
      <c r="I54" s="198">
        <f t="shared" si="1"/>
        <v>10.792264234856615</v>
      </c>
      <c r="J54" s="202">
        <f t="shared" si="15"/>
        <v>1219.5258585387976</v>
      </c>
      <c r="K54" s="206">
        <f t="shared" si="16"/>
        <v>2371.0180920824282</v>
      </c>
      <c r="L54" s="205">
        <f t="shared" si="17"/>
        <v>-1151.4922335436306</v>
      </c>
      <c r="M54" s="202">
        <f t="shared" si="7"/>
        <v>-62.879649167828049</v>
      </c>
      <c r="N54" s="203">
        <f t="shared" si="8"/>
        <v>-1214.3718827114587</v>
      </c>
      <c r="O54" s="202">
        <v>0</v>
      </c>
      <c r="P54" s="202">
        <v>0</v>
      </c>
      <c r="Q54" s="202">
        <v>0</v>
      </c>
      <c r="R54" s="203">
        <f t="shared" si="9"/>
        <v>-1214.3718827114587</v>
      </c>
    </row>
    <row r="55" spans="1:18" x14ac:dyDescent="0.2">
      <c r="A55" s="160">
        <v>12</v>
      </c>
      <c r="B55" s="195">
        <f t="shared" si="13"/>
        <v>44896</v>
      </c>
      <c r="C55" s="216">
        <f t="shared" si="14"/>
        <v>44930</v>
      </c>
      <c r="D55" s="216">
        <f t="shared" si="14"/>
        <v>44950</v>
      </c>
      <c r="E55" s="204" t="s">
        <v>80</v>
      </c>
      <c r="F55" s="160">
        <v>9</v>
      </c>
      <c r="G55" s="207">
        <v>210</v>
      </c>
      <c r="H55" s="208">
        <f t="shared" si="5"/>
        <v>20.982460991879897</v>
      </c>
      <c r="I55" s="208">
        <f t="shared" si="1"/>
        <v>10.792264234856615</v>
      </c>
      <c r="J55" s="209">
        <f t="shared" si="15"/>
        <v>2266.3754893198893</v>
      </c>
      <c r="K55" s="210">
        <f t="shared" si="16"/>
        <v>4406.3168082947786</v>
      </c>
      <c r="L55" s="211">
        <f t="shared" si="17"/>
        <v>-2139.9413189748893</v>
      </c>
      <c r="M55" s="202">
        <f t="shared" si="7"/>
        <v>-116.85598517914947</v>
      </c>
      <c r="N55" s="203">
        <f t="shared" si="8"/>
        <v>-2256.797304154039</v>
      </c>
      <c r="O55" s="202">
        <v>0</v>
      </c>
      <c r="P55" s="202">
        <v>0</v>
      </c>
      <c r="Q55" s="202">
        <v>0</v>
      </c>
      <c r="R55" s="203">
        <f t="shared" si="9"/>
        <v>-2256.797304154039</v>
      </c>
    </row>
    <row r="56" spans="1:18" s="217" customFormat="1" x14ac:dyDescent="0.2">
      <c r="A56" s="124">
        <v>1</v>
      </c>
      <c r="B56" s="212">
        <f t="shared" si="4"/>
        <v>44562</v>
      </c>
      <c r="C56" s="213">
        <f t="shared" ref="C56:D67" si="18">+C32</f>
        <v>44595</v>
      </c>
      <c r="D56" s="213">
        <f t="shared" si="18"/>
        <v>44615</v>
      </c>
      <c r="E56" s="214" t="s">
        <v>14</v>
      </c>
      <c r="F56" s="215">
        <v>9</v>
      </c>
      <c r="G56" s="197">
        <v>893</v>
      </c>
      <c r="H56" s="198">
        <f t="shared" si="5"/>
        <v>20.982460991879897</v>
      </c>
      <c r="I56" s="198">
        <f t="shared" si="1"/>
        <v>10.792264234856615</v>
      </c>
      <c r="J56" s="199">
        <f t="shared" si="2"/>
        <v>9637.491961726957</v>
      </c>
      <c r="K56" s="200">
        <f t="shared" si="11"/>
        <v>18737.33766574875</v>
      </c>
      <c r="L56" s="201">
        <f t="shared" si="12"/>
        <v>-9099.8457040217927</v>
      </c>
      <c r="M56" s="202">
        <f t="shared" si="7"/>
        <v>-496.91616554752602</v>
      </c>
      <c r="N56" s="203">
        <f t="shared" si="8"/>
        <v>-9596.7618695693182</v>
      </c>
      <c r="O56" s="202">
        <v>0</v>
      </c>
      <c r="P56" s="202">
        <v>0</v>
      </c>
      <c r="Q56" s="202">
        <v>0</v>
      </c>
      <c r="R56" s="203">
        <f t="shared" si="9"/>
        <v>-9596.7618695693182</v>
      </c>
    </row>
    <row r="57" spans="1:18" x14ac:dyDescent="0.2">
      <c r="A57" s="160">
        <v>2</v>
      </c>
      <c r="B57" s="195">
        <f t="shared" si="4"/>
        <v>44593</v>
      </c>
      <c r="C57" s="216">
        <f t="shared" si="18"/>
        <v>44623</v>
      </c>
      <c r="D57" s="216">
        <f t="shared" si="18"/>
        <v>44642</v>
      </c>
      <c r="E57" s="204" t="s">
        <v>14</v>
      </c>
      <c r="F57" s="160">
        <v>9</v>
      </c>
      <c r="G57" s="197">
        <v>796</v>
      </c>
      <c r="H57" s="198">
        <f t="shared" si="5"/>
        <v>20.982460991879897</v>
      </c>
      <c r="I57" s="198">
        <f t="shared" si="1"/>
        <v>10.792264234856615</v>
      </c>
      <c r="J57" s="199">
        <f t="shared" si="2"/>
        <v>8590.642330945866</v>
      </c>
      <c r="K57" s="200">
        <f t="shared" si="11"/>
        <v>16702.0389495364</v>
      </c>
      <c r="L57" s="201">
        <f t="shared" si="12"/>
        <v>-8111.3966185905338</v>
      </c>
      <c r="M57" s="202">
        <f t="shared" si="7"/>
        <v>-442.93982953620463</v>
      </c>
      <c r="N57" s="203">
        <f t="shared" si="8"/>
        <v>-8554.3364481267381</v>
      </c>
      <c r="O57" s="202">
        <v>0</v>
      </c>
      <c r="P57" s="202">
        <v>0</v>
      </c>
      <c r="Q57" s="202">
        <v>0</v>
      </c>
      <c r="R57" s="203">
        <f t="shared" si="9"/>
        <v>-8554.3364481267381</v>
      </c>
    </row>
    <row r="58" spans="1:18" x14ac:dyDescent="0.2">
      <c r="A58" s="160">
        <v>3</v>
      </c>
      <c r="B58" s="195">
        <f t="shared" si="4"/>
        <v>44621</v>
      </c>
      <c r="C58" s="216">
        <f t="shared" si="18"/>
        <v>44656</v>
      </c>
      <c r="D58" s="216">
        <f t="shared" si="18"/>
        <v>44676</v>
      </c>
      <c r="E58" s="204" t="s">
        <v>14</v>
      </c>
      <c r="F58" s="160">
        <v>9</v>
      </c>
      <c r="G58" s="197">
        <v>700</v>
      </c>
      <c r="H58" s="198">
        <f t="shared" si="5"/>
        <v>20.982460991879897</v>
      </c>
      <c r="I58" s="198">
        <f t="shared" si="1"/>
        <v>10.792264234856615</v>
      </c>
      <c r="J58" s="199">
        <f t="shared" si="2"/>
        <v>7554.5849643996307</v>
      </c>
      <c r="K58" s="200">
        <f t="shared" si="11"/>
        <v>14687.722694315928</v>
      </c>
      <c r="L58" s="201">
        <f>+J58-K58</f>
        <v>-7133.1377299162968</v>
      </c>
      <c r="M58" s="202">
        <f t="shared" si="7"/>
        <v>-389.51995059716489</v>
      </c>
      <c r="N58" s="203">
        <f t="shared" si="8"/>
        <v>-7522.6576805134619</v>
      </c>
      <c r="O58" s="202">
        <v>0</v>
      </c>
      <c r="P58" s="202">
        <v>0</v>
      </c>
      <c r="Q58" s="202">
        <v>0</v>
      </c>
      <c r="R58" s="203">
        <f t="shared" si="9"/>
        <v>-7522.6576805134619</v>
      </c>
    </row>
    <row r="59" spans="1:18" x14ac:dyDescent="0.2">
      <c r="A59" s="124">
        <v>4</v>
      </c>
      <c r="B59" s="195">
        <f t="shared" si="4"/>
        <v>44652</v>
      </c>
      <c r="C59" s="216">
        <f t="shared" si="18"/>
        <v>44685</v>
      </c>
      <c r="D59" s="216">
        <f t="shared" si="18"/>
        <v>44705</v>
      </c>
      <c r="E59" s="204" t="s">
        <v>14</v>
      </c>
      <c r="F59" s="160">
        <v>9</v>
      </c>
      <c r="G59" s="197">
        <v>549</v>
      </c>
      <c r="H59" s="198">
        <f t="shared" si="5"/>
        <v>20.982460991879897</v>
      </c>
      <c r="I59" s="198">
        <f t="shared" si="1"/>
        <v>10.792264234856615</v>
      </c>
      <c r="J59" s="199">
        <f t="shared" si="2"/>
        <v>5924.9530649362814</v>
      </c>
      <c r="K59" s="200">
        <f t="shared" si="11"/>
        <v>11519.371084542063</v>
      </c>
      <c r="L59" s="201">
        <f t="shared" ref="L59:L81" si="19">+J59-K59</f>
        <v>-5594.4180196057814</v>
      </c>
      <c r="M59" s="202">
        <f t="shared" si="7"/>
        <v>-305.49493268263359</v>
      </c>
      <c r="N59" s="203">
        <f t="shared" si="8"/>
        <v>-5899.912952288415</v>
      </c>
      <c r="O59" s="202">
        <v>0</v>
      </c>
      <c r="P59" s="202">
        <v>0</v>
      </c>
      <c r="Q59" s="202">
        <v>0</v>
      </c>
      <c r="R59" s="203">
        <f t="shared" si="9"/>
        <v>-5899.912952288415</v>
      </c>
    </row>
    <row r="60" spans="1:18" x14ac:dyDescent="0.2">
      <c r="A60" s="160">
        <v>5</v>
      </c>
      <c r="B60" s="195">
        <f t="shared" si="4"/>
        <v>44682</v>
      </c>
      <c r="C60" s="216">
        <f t="shared" si="18"/>
        <v>44715</v>
      </c>
      <c r="D60" s="216">
        <f t="shared" si="18"/>
        <v>44735</v>
      </c>
      <c r="E60" s="54" t="s">
        <v>14</v>
      </c>
      <c r="F60" s="160">
        <v>9</v>
      </c>
      <c r="G60" s="197">
        <v>753</v>
      </c>
      <c r="H60" s="198">
        <f t="shared" si="5"/>
        <v>20.982460991879897</v>
      </c>
      <c r="I60" s="198">
        <f t="shared" si="1"/>
        <v>10.792264234856615</v>
      </c>
      <c r="J60" s="199">
        <f t="shared" si="2"/>
        <v>8126.5749688470314</v>
      </c>
      <c r="K60" s="200">
        <f t="shared" si="11"/>
        <v>15799.793126885563</v>
      </c>
      <c r="L60" s="201">
        <f t="shared" si="19"/>
        <v>-7673.2181580385313</v>
      </c>
      <c r="M60" s="202">
        <f t="shared" si="7"/>
        <v>-419.01217542809309</v>
      </c>
      <c r="N60" s="203">
        <f t="shared" si="8"/>
        <v>-8092.2303334666249</v>
      </c>
      <c r="O60" s="202">
        <v>0</v>
      </c>
      <c r="P60" s="202">
        <v>0</v>
      </c>
      <c r="Q60" s="202">
        <v>0</v>
      </c>
      <c r="R60" s="203">
        <f t="shared" si="9"/>
        <v>-8092.2303334666249</v>
      </c>
    </row>
    <row r="61" spans="1:18" x14ac:dyDescent="0.2">
      <c r="A61" s="160">
        <v>6</v>
      </c>
      <c r="B61" s="195">
        <f t="shared" si="4"/>
        <v>44713</v>
      </c>
      <c r="C61" s="216">
        <f t="shared" si="18"/>
        <v>44747</v>
      </c>
      <c r="D61" s="216">
        <f t="shared" si="18"/>
        <v>44767</v>
      </c>
      <c r="E61" s="54" t="s">
        <v>14</v>
      </c>
      <c r="F61" s="160">
        <v>9</v>
      </c>
      <c r="G61" s="197">
        <v>942</v>
      </c>
      <c r="H61" s="198">
        <f t="shared" si="5"/>
        <v>20.982460991879897</v>
      </c>
      <c r="I61" s="198">
        <f t="shared" si="1"/>
        <v>10.792264234856615</v>
      </c>
      <c r="J61" s="199">
        <f t="shared" si="2"/>
        <v>10166.312909234932</v>
      </c>
      <c r="K61" s="200">
        <f t="shared" si="11"/>
        <v>19765.478254350863</v>
      </c>
      <c r="L61" s="205">
        <f t="shared" si="19"/>
        <v>-9599.1653451159309</v>
      </c>
      <c r="M61" s="202">
        <f t="shared" si="7"/>
        <v>-524.18256208932758</v>
      </c>
      <c r="N61" s="203">
        <f t="shared" si="8"/>
        <v>-10123.347907205258</v>
      </c>
      <c r="O61" s="202">
        <v>0</v>
      </c>
      <c r="P61" s="202">
        <v>0</v>
      </c>
      <c r="Q61" s="202">
        <v>0</v>
      </c>
      <c r="R61" s="203">
        <f t="shared" si="9"/>
        <v>-10123.347907205258</v>
      </c>
    </row>
    <row r="62" spans="1:18" x14ac:dyDescent="0.2">
      <c r="A62" s="124">
        <v>7</v>
      </c>
      <c r="B62" s="195">
        <f t="shared" si="4"/>
        <v>44743</v>
      </c>
      <c r="C62" s="216">
        <f t="shared" si="18"/>
        <v>44776</v>
      </c>
      <c r="D62" s="216">
        <f t="shared" si="18"/>
        <v>44796</v>
      </c>
      <c r="E62" s="54" t="s">
        <v>14</v>
      </c>
      <c r="F62" s="160">
        <v>9</v>
      </c>
      <c r="G62" s="197">
        <v>1036</v>
      </c>
      <c r="H62" s="198">
        <f t="shared" si="5"/>
        <v>20.982460991879897</v>
      </c>
      <c r="I62" s="198">
        <f t="shared" si="1"/>
        <v>10.792264234856615</v>
      </c>
      <c r="J62" s="199">
        <f t="shared" si="2"/>
        <v>11180.785747311453</v>
      </c>
      <c r="K62" s="206">
        <f t="shared" si="11"/>
        <v>21737.829587587574</v>
      </c>
      <c r="L62" s="205">
        <f t="shared" si="19"/>
        <v>-10557.043840276121</v>
      </c>
      <c r="M62" s="202">
        <f t="shared" si="7"/>
        <v>-576.48952688380393</v>
      </c>
      <c r="N62" s="203">
        <f t="shared" si="8"/>
        <v>-11133.533367159926</v>
      </c>
      <c r="O62" s="202">
        <v>0</v>
      </c>
      <c r="P62" s="202">
        <v>0</v>
      </c>
      <c r="Q62" s="202">
        <v>0</v>
      </c>
      <c r="R62" s="203">
        <f t="shared" si="9"/>
        <v>-11133.533367159926</v>
      </c>
    </row>
    <row r="63" spans="1:18" x14ac:dyDescent="0.2">
      <c r="A63" s="160">
        <v>8</v>
      </c>
      <c r="B63" s="195">
        <f t="shared" si="4"/>
        <v>44774</v>
      </c>
      <c r="C63" s="216">
        <f t="shared" si="18"/>
        <v>44809</v>
      </c>
      <c r="D63" s="216">
        <f t="shared" si="18"/>
        <v>44827</v>
      </c>
      <c r="E63" s="54" t="s">
        <v>14</v>
      </c>
      <c r="F63" s="160">
        <v>9</v>
      </c>
      <c r="G63" s="197">
        <v>954</v>
      </c>
      <c r="H63" s="198">
        <f t="shared" si="5"/>
        <v>20.982460991879897</v>
      </c>
      <c r="I63" s="198">
        <f t="shared" si="1"/>
        <v>10.792264234856615</v>
      </c>
      <c r="J63" s="199">
        <f t="shared" si="2"/>
        <v>10295.82008005321</v>
      </c>
      <c r="K63" s="206">
        <f t="shared" si="11"/>
        <v>20017.267786253422</v>
      </c>
      <c r="L63" s="205">
        <f t="shared" si="19"/>
        <v>-9721.4477062002115</v>
      </c>
      <c r="M63" s="202">
        <f t="shared" si="7"/>
        <v>-530.86004695670749</v>
      </c>
      <c r="N63" s="203">
        <f t="shared" si="8"/>
        <v>-10252.30775315692</v>
      </c>
      <c r="O63" s="202">
        <v>0</v>
      </c>
      <c r="P63" s="202">
        <v>0</v>
      </c>
      <c r="Q63" s="202">
        <v>0</v>
      </c>
      <c r="R63" s="203">
        <f t="shared" si="9"/>
        <v>-10252.30775315692</v>
      </c>
    </row>
    <row r="64" spans="1:18" x14ac:dyDescent="0.2">
      <c r="A64" s="160">
        <v>9</v>
      </c>
      <c r="B64" s="195">
        <f t="shared" si="4"/>
        <v>44805</v>
      </c>
      <c r="C64" s="216">
        <f t="shared" si="18"/>
        <v>44839</v>
      </c>
      <c r="D64" s="216">
        <f t="shared" si="18"/>
        <v>44859</v>
      </c>
      <c r="E64" s="54" t="s">
        <v>14</v>
      </c>
      <c r="F64" s="160">
        <v>9</v>
      </c>
      <c r="G64" s="197">
        <v>860</v>
      </c>
      <c r="H64" s="198">
        <f t="shared" si="5"/>
        <v>20.982460991879897</v>
      </c>
      <c r="I64" s="198">
        <f t="shared" ref="I64:I107" si="20">$J$3</f>
        <v>10.792264234856615</v>
      </c>
      <c r="J64" s="199">
        <f t="shared" si="2"/>
        <v>9281.3472419766895</v>
      </c>
      <c r="K64" s="206">
        <f t="shared" si="11"/>
        <v>18044.916453016711</v>
      </c>
      <c r="L64" s="205">
        <f t="shared" si="19"/>
        <v>-8763.5692110400214</v>
      </c>
      <c r="M64" s="202">
        <f t="shared" si="7"/>
        <v>-478.55308216223114</v>
      </c>
      <c r="N64" s="203">
        <f t="shared" si="8"/>
        <v>-9242.122293202252</v>
      </c>
      <c r="O64" s="202">
        <v>0</v>
      </c>
      <c r="P64" s="202">
        <v>0</v>
      </c>
      <c r="Q64" s="202">
        <v>0</v>
      </c>
      <c r="R64" s="203">
        <f t="shared" si="9"/>
        <v>-9242.122293202252</v>
      </c>
    </row>
    <row r="65" spans="1:18" x14ac:dyDescent="0.2">
      <c r="A65" s="124">
        <v>10</v>
      </c>
      <c r="B65" s="195">
        <f t="shared" si="4"/>
        <v>44835</v>
      </c>
      <c r="C65" s="216">
        <f t="shared" si="18"/>
        <v>44868</v>
      </c>
      <c r="D65" s="216">
        <f t="shared" si="18"/>
        <v>44888</v>
      </c>
      <c r="E65" s="54" t="s">
        <v>14</v>
      </c>
      <c r="F65" s="160">
        <v>9</v>
      </c>
      <c r="G65" s="197">
        <v>589</v>
      </c>
      <c r="H65" s="198">
        <f t="shared" si="5"/>
        <v>20.982460991879897</v>
      </c>
      <c r="I65" s="198">
        <f t="shared" si="20"/>
        <v>10.792264234856615</v>
      </c>
      <c r="J65" s="199">
        <f t="shared" si="2"/>
        <v>6356.6436343305468</v>
      </c>
      <c r="K65" s="206">
        <f t="shared" si="11"/>
        <v>12358.669524217259</v>
      </c>
      <c r="L65" s="205">
        <f t="shared" si="19"/>
        <v>-6002.0258898867123</v>
      </c>
      <c r="M65" s="202">
        <f t="shared" si="7"/>
        <v>-327.75321557390015</v>
      </c>
      <c r="N65" s="203">
        <f t="shared" si="8"/>
        <v>-6329.7791054606123</v>
      </c>
      <c r="O65" s="202">
        <v>0</v>
      </c>
      <c r="P65" s="202">
        <v>0</v>
      </c>
      <c r="Q65" s="202">
        <v>0</v>
      </c>
      <c r="R65" s="203">
        <f t="shared" si="9"/>
        <v>-6329.7791054606123</v>
      </c>
    </row>
    <row r="66" spans="1:18" x14ac:dyDescent="0.2">
      <c r="A66" s="160">
        <v>11</v>
      </c>
      <c r="B66" s="195">
        <f t="shared" si="4"/>
        <v>44866</v>
      </c>
      <c r="C66" s="216">
        <f t="shared" si="18"/>
        <v>44900</v>
      </c>
      <c r="D66" s="216">
        <f t="shared" si="18"/>
        <v>44918</v>
      </c>
      <c r="E66" s="54" t="s">
        <v>14</v>
      </c>
      <c r="F66" s="160">
        <v>9</v>
      </c>
      <c r="G66" s="197">
        <v>730</v>
      </c>
      <c r="H66" s="198">
        <f t="shared" si="5"/>
        <v>20.982460991879897</v>
      </c>
      <c r="I66" s="198">
        <f t="shared" si="20"/>
        <v>10.792264234856615</v>
      </c>
      <c r="J66" s="199">
        <f t="shared" si="2"/>
        <v>7878.3528914453291</v>
      </c>
      <c r="K66" s="206">
        <f t="shared" si="11"/>
        <v>15317.196524072326</v>
      </c>
      <c r="L66" s="205">
        <f t="shared" si="19"/>
        <v>-7438.8436326269966</v>
      </c>
      <c r="M66" s="202">
        <f t="shared" si="7"/>
        <v>-406.2136627656148</v>
      </c>
      <c r="N66" s="203">
        <f t="shared" si="8"/>
        <v>-7845.0572953926112</v>
      </c>
      <c r="O66" s="202">
        <v>0</v>
      </c>
      <c r="P66" s="202">
        <v>0</v>
      </c>
      <c r="Q66" s="202">
        <v>0</v>
      </c>
      <c r="R66" s="203">
        <f t="shared" si="9"/>
        <v>-7845.0572953926112</v>
      </c>
    </row>
    <row r="67" spans="1:18" s="220" customFormat="1" x14ac:dyDescent="0.2">
      <c r="A67" s="160">
        <v>12</v>
      </c>
      <c r="B67" s="218">
        <f t="shared" si="4"/>
        <v>44896</v>
      </c>
      <c r="C67" s="216">
        <f t="shared" si="18"/>
        <v>44930</v>
      </c>
      <c r="D67" s="216">
        <f t="shared" si="18"/>
        <v>44950</v>
      </c>
      <c r="E67" s="219" t="s">
        <v>14</v>
      </c>
      <c r="F67" s="171">
        <v>9</v>
      </c>
      <c r="G67" s="207">
        <v>1123</v>
      </c>
      <c r="H67" s="208">
        <f t="shared" si="5"/>
        <v>20.982460991879897</v>
      </c>
      <c r="I67" s="208">
        <f t="shared" si="20"/>
        <v>10.792264234856615</v>
      </c>
      <c r="J67" s="209">
        <f t="shared" si="2"/>
        <v>12119.712735743979</v>
      </c>
      <c r="K67" s="210">
        <f t="shared" si="11"/>
        <v>23563.303693881124</v>
      </c>
      <c r="L67" s="211">
        <f t="shared" si="19"/>
        <v>-11443.590958137145</v>
      </c>
      <c r="M67" s="202">
        <f t="shared" si="7"/>
        <v>-624.90129217230879</v>
      </c>
      <c r="N67" s="203">
        <f t="shared" si="8"/>
        <v>-12068.492250309453</v>
      </c>
      <c r="O67" s="202">
        <v>0</v>
      </c>
      <c r="P67" s="202">
        <v>0</v>
      </c>
      <c r="Q67" s="202">
        <v>0</v>
      </c>
      <c r="R67" s="203">
        <f t="shared" si="9"/>
        <v>-12068.492250309453</v>
      </c>
    </row>
    <row r="68" spans="1:18" x14ac:dyDescent="0.2">
      <c r="A68" s="124">
        <v>1</v>
      </c>
      <c r="B68" s="195">
        <f t="shared" si="4"/>
        <v>44562</v>
      </c>
      <c r="C68" s="213">
        <f t="shared" ref="C68:D79" si="21">+C56</f>
        <v>44595</v>
      </c>
      <c r="D68" s="213">
        <f t="shared" si="21"/>
        <v>44615</v>
      </c>
      <c r="E68" s="196" t="s">
        <v>82</v>
      </c>
      <c r="F68" s="124">
        <v>9</v>
      </c>
      <c r="G68" s="197">
        <v>48</v>
      </c>
      <c r="H68" s="198">
        <f t="shared" si="5"/>
        <v>20.982460991879897</v>
      </c>
      <c r="I68" s="198">
        <f t="shared" si="20"/>
        <v>10.792264234856615</v>
      </c>
      <c r="J68" s="199">
        <f t="shared" si="2"/>
        <v>518.02868327311751</v>
      </c>
      <c r="K68" s="200">
        <f t="shared" si="11"/>
        <v>1007.1581276102351</v>
      </c>
      <c r="L68" s="201">
        <f t="shared" si="19"/>
        <v>-489.12944433711755</v>
      </c>
      <c r="M68" s="202">
        <f t="shared" si="7"/>
        <v>-26.709939469519874</v>
      </c>
      <c r="N68" s="203">
        <f t="shared" si="8"/>
        <v>-515.83938380663744</v>
      </c>
      <c r="O68" s="202">
        <v>0</v>
      </c>
      <c r="P68" s="202">
        <v>0</v>
      </c>
      <c r="Q68" s="202">
        <v>0</v>
      </c>
      <c r="R68" s="203">
        <f t="shared" si="9"/>
        <v>-515.83938380663744</v>
      </c>
    </row>
    <row r="69" spans="1:18" x14ac:dyDescent="0.2">
      <c r="A69" s="160">
        <v>2</v>
      </c>
      <c r="B69" s="195">
        <f t="shared" si="4"/>
        <v>44593</v>
      </c>
      <c r="C69" s="216">
        <f t="shared" si="21"/>
        <v>44623</v>
      </c>
      <c r="D69" s="216">
        <f t="shared" si="21"/>
        <v>44642</v>
      </c>
      <c r="E69" s="204" t="s">
        <v>82</v>
      </c>
      <c r="F69" s="160">
        <v>9</v>
      </c>
      <c r="G69" s="197">
        <v>45</v>
      </c>
      <c r="H69" s="198">
        <f t="shared" si="5"/>
        <v>20.982460991879897</v>
      </c>
      <c r="I69" s="198">
        <f t="shared" si="20"/>
        <v>10.792264234856615</v>
      </c>
      <c r="J69" s="199">
        <f t="shared" si="2"/>
        <v>485.65189056854769</v>
      </c>
      <c r="K69" s="200">
        <f t="shared" si="11"/>
        <v>944.21074463459536</v>
      </c>
      <c r="L69" s="201">
        <f t="shared" si="19"/>
        <v>-458.55885406604767</v>
      </c>
      <c r="M69" s="202">
        <f t="shared" si="7"/>
        <v>-25.040568252674884</v>
      </c>
      <c r="N69" s="203">
        <f t="shared" si="8"/>
        <v>-483.59942231872253</v>
      </c>
      <c r="O69" s="202">
        <v>0</v>
      </c>
      <c r="P69" s="202">
        <v>0</v>
      </c>
      <c r="Q69" s="202">
        <v>0</v>
      </c>
      <c r="R69" s="203">
        <f t="shared" si="9"/>
        <v>-483.59942231872253</v>
      </c>
    </row>
    <row r="70" spans="1:18" x14ac:dyDescent="0.2">
      <c r="A70" s="160">
        <v>3</v>
      </c>
      <c r="B70" s="195">
        <f t="shared" si="4"/>
        <v>44621</v>
      </c>
      <c r="C70" s="216">
        <f t="shared" si="21"/>
        <v>44656</v>
      </c>
      <c r="D70" s="216">
        <f t="shared" si="21"/>
        <v>44676</v>
      </c>
      <c r="E70" s="204" t="s">
        <v>82</v>
      </c>
      <c r="F70" s="160">
        <v>9</v>
      </c>
      <c r="G70" s="197">
        <v>38</v>
      </c>
      <c r="H70" s="198">
        <f t="shared" si="5"/>
        <v>20.982460991879897</v>
      </c>
      <c r="I70" s="198">
        <f t="shared" si="20"/>
        <v>10.792264234856615</v>
      </c>
      <c r="J70" s="199">
        <f t="shared" si="2"/>
        <v>410.10604092455139</v>
      </c>
      <c r="K70" s="200">
        <f t="shared" si="11"/>
        <v>797.3335176914361</v>
      </c>
      <c r="L70" s="201">
        <f>+J70-K70</f>
        <v>-387.22747676688471</v>
      </c>
      <c r="M70" s="202">
        <f t="shared" si="7"/>
        <v>-21.145368746703237</v>
      </c>
      <c r="N70" s="203">
        <f t="shared" si="8"/>
        <v>-408.37284551358795</v>
      </c>
      <c r="O70" s="202">
        <v>0</v>
      </c>
      <c r="P70" s="202">
        <v>0</v>
      </c>
      <c r="Q70" s="202">
        <v>0</v>
      </c>
      <c r="R70" s="203">
        <f t="shared" si="9"/>
        <v>-408.37284551358795</v>
      </c>
    </row>
    <row r="71" spans="1:18" x14ac:dyDescent="0.2">
      <c r="A71" s="124">
        <v>4</v>
      </c>
      <c r="B71" s="195">
        <f t="shared" si="4"/>
        <v>44652</v>
      </c>
      <c r="C71" s="216">
        <f t="shared" si="21"/>
        <v>44685</v>
      </c>
      <c r="D71" s="216">
        <f t="shared" si="21"/>
        <v>44705</v>
      </c>
      <c r="E71" s="204" t="s">
        <v>82</v>
      </c>
      <c r="F71" s="160">
        <v>9</v>
      </c>
      <c r="G71" s="197">
        <v>26</v>
      </c>
      <c r="H71" s="198">
        <f t="shared" si="5"/>
        <v>20.982460991879897</v>
      </c>
      <c r="I71" s="198">
        <f t="shared" si="20"/>
        <v>10.792264234856615</v>
      </c>
      <c r="J71" s="199">
        <f t="shared" si="2"/>
        <v>280.59887010627199</v>
      </c>
      <c r="K71" s="200">
        <f t="shared" si="11"/>
        <v>545.54398578887731</v>
      </c>
      <c r="L71" s="201">
        <f t="shared" ref="L71:L79" si="22">+J71-K71</f>
        <v>-264.94511568260532</v>
      </c>
      <c r="M71" s="202">
        <f t="shared" si="7"/>
        <v>-14.467883879323265</v>
      </c>
      <c r="N71" s="203">
        <f t="shared" si="8"/>
        <v>-279.41299956192859</v>
      </c>
      <c r="O71" s="202">
        <v>0</v>
      </c>
      <c r="P71" s="202">
        <v>0</v>
      </c>
      <c r="Q71" s="202">
        <v>0</v>
      </c>
      <c r="R71" s="203">
        <f t="shared" si="9"/>
        <v>-279.41299956192859</v>
      </c>
    </row>
    <row r="72" spans="1:18" x14ac:dyDescent="0.2">
      <c r="A72" s="160">
        <v>5</v>
      </c>
      <c r="B72" s="195">
        <f t="shared" si="4"/>
        <v>44682</v>
      </c>
      <c r="C72" s="216">
        <f t="shared" si="21"/>
        <v>44715</v>
      </c>
      <c r="D72" s="216">
        <f t="shared" si="21"/>
        <v>44735</v>
      </c>
      <c r="E72" s="204" t="s">
        <v>82</v>
      </c>
      <c r="F72" s="160">
        <v>9</v>
      </c>
      <c r="G72" s="197">
        <v>43</v>
      </c>
      <c r="H72" s="198">
        <f t="shared" si="5"/>
        <v>20.982460991879897</v>
      </c>
      <c r="I72" s="198">
        <f t="shared" si="20"/>
        <v>10.792264234856615</v>
      </c>
      <c r="J72" s="199">
        <f t="shared" si="2"/>
        <v>464.06736209883445</v>
      </c>
      <c r="K72" s="200">
        <f t="shared" si="11"/>
        <v>902.24582265083552</v>
      </c>
      <c r="L72" s="201">
        <f t="shared" si="22"/>
        <v>-438.17846055200107</v>
      </c>
      <c r="M72" s="202">
        <f t="shared" si="7"/>
        <v>-23.927654108111557</v>
      </c>
      <c r="N72" s="203">
        <f t="shared" si="8"/>
        <v>-462.10611466011261</v>
      </c>
      <c r="O72" s="202">
        <v>0</v>
      </c>
      <c r="P72" s="202">
        <v>0</v>
      </c>
      <c r="Q72" s="202">
        <v>0</v>
      </c>
      <c r="R72" s="203">
        <f t="shared" si="9"/>
        <v>-462.10611466011261</v>
      </c>
    </row>
    <row r="73" spans="1:18" x14ac:dyDescent="0.2">
      <c r="A73" s="160">
        <v>6</v>
      </c>
      <c r="B73" s="195">
        <f t="shared" si="4"/>
        <v>44713</v>
      </c>
      <c r="C73" s="216">
        <f t="shared" si="21"/>
        <v>44747</v>
      </c>
      <c r="D73" s="216">
        <f t="shared" si="21"/>
        <v>44767</v>
      </c>
      <c r="E73" s="204" t="s">
        <v>82</v>
      </c>
      <c r="F73" s="160">
        <v>9</v>
      </c>
      <c r="G73" s="197">
        <v>54</v>
      </c>
      <c r="H73" s="198">
        <f t="shared" si="5"/>
        <v>20.982460991879897</v>
      </c>
      <c r="I73" s="198">
        <f t="shared" si="20"/>
        <v>10.792264234856615</v>
      </c>
      <c r="J73" s="199">
        <f t="shared" si="2"/>
        <v>582.78226868225727</v>
      </c>
      <c r="K73" s="200">
        <f t="shared" si="11"/>
        <v>1133.0528935615143</v>
      </c>
      <c r="L73" s="205">
        <f t="shared" si="22"/>
        <v>-550.27062487925707</v>
      </c>
      <c r="M73" s="202">
        <f t="shared" si="7"/>
        <v>-30.048681903209861</v>
      </c>
      <c r="N73" s="203">
        <f t="shared" si="8"/>
        <v>-580.31930678246692</v>
      </c>
      <c r="O73" s="202">
        <v>0</v>
      </c>
      <c r="P73" s="202">
        <v>0</v>
      </c>
      <c r="Q73" s="202">
        <v>0</v>
      </c>
      <c r="R73" s="203">
        <f t="shared" si="9"/>
        <v>-580.31930678246692</v>
      </c>
    </row>
    <row r="74" spans="1:18" x14ac:dyDescent="0.2">
      <c r="A74" s="124">
        <v>7</v>
      </c>
      <c r="B74" s="195">
        <f t="shared" si="4"/>
        <v>44743</v>
      </c>
      <c r="C74" s="216">
        <f t="shared" si="21"/>
        <v>44776</v>
      </c>
      <c r="D74" s="216">
        <f t="shared" si="21"/>
        <v>44796</v>
      </c>
      <c r="E74" s="204" t="s">
        <v>82</v>
      </c>
      <c r="F74" s="160">
        <v>9</v>
      </c>
      <c r="G74" s="197">
        <v>57</v>
      </c>
      <c r="H74" s="198">
        <f t="shared" si="5"/>
        <v>20.982460991879897</v>
      </c>
      <c r="I74" s="198">
        <f t="shared" si="20"/>
        <v>10.792264234856615</v>
      </c>
      <c r="J74" s="199">
        <f t="shared" si="2"/>
        <v>615.15906138682703</v>
      </c>
      <c r="K74" s="206">
        <f t="shared" si="11"/>
        <v>1196.0002765371541</v>
      </c>
      <c r="L74" s="205">
        <f t="shared" si="22"/>
        <v>-580.84121515032712</v>
      </c>
      <c r="M74" s="202">
        <f t="shared" si="7"/>
        <v>-31.718053120054851</v>
      </c>
      <c r="N74" s="203">
        <f t="shared" si="8"/>
        <v>-612.55926827038195</v>
      </c>
      <c r="O74" s="202">
        <v>0</v>
      </c>
      <c r="P74" s="202">
        <v>0</v>
      </c>
      <c r="Q74" s="202">
        <v>0</v>
      </c>
      <c r="R74" s="203">
        <f t="shared" si="9"/>
        <v>-612.55926827038195</v>
      </c>
    </row>
    <row r="75" spans="1:18" x14ac:dyDescent="0.2">
      <c r="A75" s="160">
        <v>8</v>
      </c>
      <c r="B75" s="195">
        <f t="shared" si="4"/>
        <v>44774</v>
      </c>
      <c r="C75" s="216">
        <f t="shared" si="21"/>
        <v>44809</v>
      </c>
      <c r="D75" s="216">
        <f t="shared" si="21"/>
        <v>44827</v>
      </c>
      <c r="E75" s="204" t="s">
        <v>82</v>
      </c>
      <c r="F75" s="160">
        <v>9</v>
      </c>
      <c r="G75" s="197">
        <v>54</v>
      </c>
      <c r="H75" s="198">
        <f t="shared" si="5"/>
        <v>20.982460991879897</v>
      </c>
      <c r="I75" s="198">
        <f t="shared" si="20"/>
        <v>10.792264234856615</v>
      </c>
      <c r="J75" s="199">
        <f t="shared" si="2"/>
        <v>582.78226868225727</v>
      </c>
      <c r="K75" s="206">
        <f t="shared" si="11"/>
        <v>1133.0528935615143</v>
      </c>
      <c r="L75" s="205">
        <f t="shared" si="22"/>
        <v>-550.27062487925707</v>
      </c>
      <c r="M75" s="202">
        <f t="shared" si="7"/>
        <v>-30.048681903209861</v>
      </c>
      <c r="N75" s="203">
        <f t="shared" si="8"/>
        <v>-580.31930678246692</v>
      </c>
      <c r="O75" s="202">
        <v>0</v>
      </c>
      <c r="P75" s="202">
        <v>0</v>
      </c>
      <c r="Q75" s="202">
        <v>0</v>
      </c>
      <c r="R75" s="203">
        <f t="shared" si="9"/>
        <v>-580.31930678246692</v>
      </c>
    </row>
    <row r="76" spans="1:18" x14ac:dyDescent="0.2">
      <c r="A76" s="160">
        <v>9</v>
      </c>
      <c r="B76" s="195">
        <f t="shared" si="4"/>
        <v>44805</v>
      </c>
      <c r="C76" s="216">
        <f t="shared" si="21"/>
        <v>44839</v>
      </c>
      <c r="D76" s="216">
        <f t="shared" si="21"/>
        <v>44859</v>
      </c>
      <c r="E76" s="204" t="s">
        <v>82</v>
      </c>
      <c r="F76" s="160">
        <v>9</v>
      </c>
      <c r="G76" s="197">
        <v>53</v>
      </c>
      <c r="H76" s="198">
        <f t="shared" si="5"/>
        <v>20.982460991879897</v>
      </c>
      <c r="I76" s="198">
        <f t="shared" si="20"/>
        <v>10.792264234856615</v>
      </c>
      <c r="J76" s="199">
        <f t="shared" si="2"/>
        <v>571.99000444740057</v>
      </c>
      <c r="K76" s="206">
        <f t="shared" si="11"/>
        <v>1112.0704325696345</v>
      </c>
      <c r="L76" s="205">
        <f t="shared" si="22"/>
        <v>-540.08042812223391</v>
      </c>
      <c r="M76" s="202">
        <f t="shared" si="7"/>
        <v>-29.492224830928198</v>
      </c>
      <c r="N76" s="203">
        <f t="shared" si="8"/>
        <v>-569.57265295316211</v>
      </c>
      <c r="O76" s="202">
        <v>0</v>
      </c>
      <c r="P76" s="202">
        <v>0</v>
      </c>
      <c r="Q76" s="202">
        <v>0</v>
      </c>
      <c r="R76" s="203">
        <f t="shared" si="9"/>
        <v>-569.57265295316211</v>
      </c>
    </row>
    <row r="77" spans="1:18" x14ac:dyDescent="0.2">
      <c r="A77" s="124">
        <v>10</v>
      </c>
      <c r="B77" s="195">
        <f t="shared" si="4"/>
        <v>44835</v>
      </c>
      <c r="C77" s="216">
        <f t="shared" si="21"/>
        <v>44868</v>
      </c>
      <c r="D77" s="216">
        <f t="shared" si="21"/>
        <v>44888</v>
      </c>
      <c r="E77" s="204" t="s">
        <v>82</v>
      </c>
      <c r="F77" s="160">
        <v>9</v>
      </c>
      <c r="G77" s="197">
        <v>31</v>
      </c>
      <c r="H77" s="198">
        <f t="shared" si="5"/>
        <v>20.982460991879897</v>
      </c>
      <c r="I77" s="198">
        <f t="shared" si="20"/>
        <v>10.792264234856615</v>
      </c>
      <c r="J77" s="199">
        <f t="shared" si="2"/>
        <v>334.5601912805551</v>
      </c>
      <c r="K77" s="206">
        <f t="shared" si="11"/>
        <v>650.45629074827684</v>
      </c>
      <c r="L77" s="205">
        <f t="shared" si="22"/>
        <v>-315.89609946772174</v>
      </c>
      <c r="M77" s="202">
        <f t="shared" si="7"/>
        <v>-17.250169240731587</v>
      </c>
      <c r="N77" s="203">
        <f t="shared" si="8"/>
        <v>-333.14626870845331</v>
      </c>
      <c r="O77" s="202">
        <v>0</v>
      </c>
      <c r="P77" s="202">
        <v>0</v>
      </c>
      <c r="Q77" s="202">
        <v>0</v>
      </c>
      <c r="R77" s="203">
        <f t="shared" si="9"/>
        <v>-333.14626870845331</v>
      </c>
    </row>
    <row r="78" spans="1:18" x14ac:dyDescent="0.2">
      <c r="A78" s="160">
        <v>11</v>
      </c>
      <c r="B78" s="195">
        <f t="shared" si="4"/>
        <v>44866</v>
      </c>
      <c r="C78" s="216">
        <f t="shared" si="21"/>
        <v>44900</v>
      </c>
      <c r="D78" s="216">
        <f t="shared" si="21"/>
        <v>44918</v>
      </c>
      <c r="E78" s="204" t="s">
        <v>82</v>
      </c>
      <c r="F78" s="160">
        <v>9</v>
      </c>
      <c r="G78" s="197">
        <v>38</v>
      </c>
      <c r="H78" s="198">
        <f t="shared" si="5"/>
        <v>20.982460991879897</v>
      </c>
      <c r="I78" s="198">
        <f t="shared" si="20"/>
        <v>10.792264234856615</v>
      </c>
      <c r="J78" s="199">
        <f t="shared" si="2"/>
        <v>410.10604092455139</v>
      </c>
      <c r="K78" s="206">
        <f>+$G78*H78</f>
        <v>797.3335176914361</v>
      </c>
      <c r="L78" s="205">
        <f t="shared" si="22"/>
        <v>-387.22747676688471</v>
      </c>
      <c r="M78" s="202">
        <f t="shared" si="7"/>
        <v>-21.145368746703237</v>
      </c>
      <c r="N78" s="203">
        <f t="shared" si="8"/>
        <v>-408.37284551358795</v>
      </c>
      <c r="O78" s="202">
        <v>0</v>
      </c>
      <c r="P78" s="202">
        <v>0</v>
      </c>
      <c r="Q78" s="202">
        <v>0</v>
      </c>
      <c r="R78" s="203">
        <f t="shared" si="9"/>
        <v>-408.37284551358795</v>
      </c>
    </row>
    <row r="79" spans="1:18" s="220" customFormat="1" x14ac:dyDescent="0.2">
      <c r="A79" s="160">
        <v>12</v>
      </c>
      <c r="B79" s="218">
        <f t="shared" si="4"/>
        <v>44896</v>
      </c>
      <c r="C79" s="221">
        <f t="shared" si="21"/>
        <v>44930</v>
      </c>
      <c r="D79" s="221">
        <f t="shared" si="21"/>
        <v>44950</v>
      </c>
      <c r="E79" s="222" t="s">
        <v>82</v>
      </c>
      <c r="F79" s="171">
        <v>9</v>
      </c>
      <c r="G79" s="207">
        <v>58</v>
      </c>
      <c r="H79" s="208">
        <f t="shared" si="5"/>
        <v>20.982460991879897</v>
      </c>
      <c r="I79" s="208">
        <f t="shared" si="20"/>
        <v>10.792264234856615</v>
      </c>
      <c r="J79" s="209">
        <f t="shared" si="2"/>
        <v>625.95132562168374</v>
      </c>
      <c r="K79" s="210">
        <f>+$G79*H79</f>
        <v>1216.982737529034</v>
      </c>
      <c r="L79" s="211">
        <f t="shared" si="22"/>
        <v>-591.03141190735028</v>
      </c>
      <c r="M79" s="202">
        <f t="shared" si="7"/>
        <v>-32.274510192336521</v>
      </c>
      <c r="N79" s="203">
        <f t="shared" si="8"/>
        <v>-623.30592209968677</v>
      </c>
      <c r="O79" s="202">
        <v>0</v>
      </c>
      <c r="P79" s="202">
        <v>0</v>
      </c>
      <c r="Q79" s="202">
        <v>0</v>
      </c>
      <c r="R79" s="203">
        <f t="shared" si="9"/>
        <v>-623.30592209968677</v>
      </c>
    </row>
    <row r="80" spans="1:18" s="52" customFormat="1" ht="12.75" customHeight="1" x14ac:dyDescent="0.2">
      <c r="A80" s="124">
        <v>1</v>
      </c>
      <c r="B80" s="195">
        <f t="shared" si="4"/>
        <v>44562</v>
      </c>
      <c r="C80" s="213">
        <f t="shared" ref="C80:D91" si="23">+C56</f>
        <v>44595</v>
      </c>
      <c r="D80" s="213">
        <f t="shared" si="23"/>
        <v>44615</v>
      </c>
      <c r="E80" s="196" t="s">
        <v>9</v>
      </c>
      <c r="F80" s="124">
        <v>9</v>
      </c>
      <c r="G80" s="197">
        <v>50</v>
      </c>
      <c r="H80" s="198">
        <f t="shared" si="5"/>
        <v>20.982460991879897</v>
      </c>
      <c r="I80" s="198">
        <f t="shared" si="20"/>
        <v>10.792264234856615</v>
      </c>
      <c r="J80" s="199">
        <f t="shared" si="2"/>
        <v>539.6132117428308</v>
      </c>
      <c r="K80" s="200">
        <f t="shared" si="11"/>
        <v>1049.1230495939949</v>
      </c>
      <c r="L80" s="201">
        <f t="shared" si="19"/>
        <v>-509.50983785116409</v>
      </c>
      <c r="M80" s="202">
        <f t="shared" si="7"/>
        <v>-27.822853614083204</v>
      </c>
      <c r="N80" s="203">
        <f t="shared" si="8"/>
        <v>-537.33269146524731</v>
      </c>
      <c r="O80" s="202">
        <v>0</v>
      </c>
      <c r="P80" s="202">
        <v>0</v>
      </c>
      <c r="Q80" s="202">
        <v>0</v>
      </c>
      <c r="R80" s="203">
        <f t="shared" si="9"/>
        <v>-537.33269146524731</v>
      </c>
    </row>
    <row r="81" spans="1:18" x14ac:dyDescent="0.2">
      <c r="A81" s="160">
        <v>2</v>
      </c>
      <c r="B81" s="195">
        <f t="shared" si="4"/>
        <v>44593</v>
      </c>
      <c r="C81" s="216">
        <f t="shared" si="23"/>
        <v>44623</v>
      </c>
      <c r="D81" s="216">
        <f t="shared" si="23"/>
        <v>44642</v>
      </c>
      <c r="E81" s="204" t="s">
        <v>9</v>
      </c>
      <c r="F81" s="160">
        <v>9</v>
      </c>
      <c r="G81" s="197">
        <v>49</v>
      </c>
      <c r="H81" s="198">
        <f t="shared" si="5"/>
        <v>20.982460991879897</v>
      </c>
      <c r="I81" s="198">
        <f t="shared" si="20"/>
        <v>10.792264234856615</v>
      </c>
      <c r="J81" s="199">
        <f t="shared" si="2"/>
        <v>528.8209475079741</v>
      </c>
      <c r="K81" s="200">
        <f t="shared" si="11"/>
        <v>1028.140588602115</v>
      </c>
      <c r="L81" s="201">
        <f t="shared" si="19"/>
        <v>-499.31964109414093</v>
      </c>
      <c r="M81" s="202">
        <f t="shared" si="7"/>
        <v>-27.266396541801541</v>
      </c>
      <c r="N81" s="203">
        <f t="shared" si="8"/>
        <v>-526.58603763594249</v>
      </c>
      <c r="O81" s="202">
        <v>0</v>
      </c>
      <c r="P81" s="202">
        <v>0</v>
      </c>
      <c r="Q81" s="202">
        <v>0</v>
      </c>
      <c r="R81" s="203">
        <f t="shared" si="9"/>
        <v>-526.58603763594249</v>
      </c>
    </row>
    <row r="82" spans="1:18" x14ac:dyDescent="0.2">
      <c r="A82" s="160">
        <v>3</v>
      </c>
      <c r="B82" s="195">
        <f t="shared" si="4"/>
        <v>44621</v>
      </c>
      <c r="C82" s="216">
        <f t="shared" si="23"/>
        <v>44656</v>
      </c>
      <c r="D82" s="216">
        <f t="shared" si="23"/>
        <v>44676</v>
      </c>
      <c r="E82" s="204" t="s">
        <v>9</v>
      </c>
      <c r="F82" s="160">
        <v>9</v>
      </c>
      <c r="G82" s="197">
        <v>45</v>
      </c>
      <c r="H82" s="198">
        <f t="shared" si="5"/>
        <v>20.982460991879897</v>
      </c>
      <c r="I82" s="198">
        <f t="shared" si="20"/>
        <v>10.792264234856615</v>
      </c>
      <c r="J82" s="199">
        <f t="shared" si="2"/>
        <v>485.65189056854769</v>
      </c>
      <c r="K82" s="200">
        <f t="shared" si="11"/>
        <v>944.21074463459536</v>
      </c>
      <c r="L82" s="201">
        <f>+J82-K82</f>
        <v>-458.55885406604767</v>
      </c>
      <c r="M82" s="202">
        <f t="shared" si="7"/>
        <v>-25.040568252674884</v>
      </c>
      <c r="N82" s="203">
        <f t="shared" si="8"/>
        <v>-483.59942231872253</v>
      </c>
      <c r="O82" s="202">
        <v>0</v>
      </c>
      <c r="P82" s="202">
        <v>0</v>
      </c>
      <c r="Q82" s="202">
        <v>0</v>
      </c>
      <c r="R82" s="203">
        <f t="shared" si="9"/>
        <v>-483.59942231872253</v>
      </c>
    </row>
    <row r="83" spans="1:18" ht="12" customHeight="1" x14ac:dyDescent="0.2">
      <c r="A83" s="124">
        <v>4</v>
      </c>
      <c r="B83" s="195">
        <f t="shared" si="4"/>
        <v>44652</v>
      </c>
      <c r="C83" s="216">
        <f t="shared" si="23"/>
        <v>44685</v>
      </c>
      <c r="D83" s="216">
        <f t="shared" si="23"/>
        <v>44705</v>
      </c>
      <c r="E83" s="54" t="s">
        <v>9</v>
      </c>
      <c r="F83" s="160">
        <v>9</v>
      </c>
      <c r="G83" s="197">
        <v>34</v>
      </c>
      <c r="H83" s="198">
        <f t="shared" si="5"/>
        <v>20.982460991879897</v>
      </c>
      <c r="I83" s="198">
        <f t="shared" si="20"/>
        <v>10.792264234856615</v>
      </c>
      <c r="J83" s="199">
        <f t="shared" si="2"/>
        <v>366.93698398512493</v>
      </c>
      <c r="K83" s="200">
        <f t="shared" si="11"/>
        <v>713.40367372391654</v>
      </c>
      <c r="L83" s="201">
        <f t="shared" ref="L83:L93" si="24">+J83-K83</f>
        <v>-346.46668973879162</v>
      </c>
      <c r="M83" s="202">
        <f t="shared" si="7"/>
        <v>-18.919540457576581</v>
      </c>
      <c r="N83" s="203">
        <f t="shared" si="8"/>
        <v>-365.38623019636822</v>
      </c>
      <c r="O83" s="202">
        <v>0</v>
      </c>
      <c r="P83" s="202">
        <v>0</v>
      </c>
      <c r="Q83" s="202">
        <v>0</v>
      </c>
      <c r="R83" s="203">
        <f t="shared" si="9"/>
        <v>-365.38623019636822</v>
      </c>
    </row>
    <row r="84" spans="1:18" ht="12" customHeight="1" x14ac:dyDescent="0.2">
      <c r="A84" s="160">
        <v>5</v>
      </c>
      <c r="B84" s="195">
        <f t="shared" si="4"/>
        <v>44682</v>
      </c>
      <c r="C84" s="216">
        <f t="shared" si="23"/>
        <v>44715</v>
      </c>
      <c r="D84" s="216">
        <f t="shared" si="23"/>
        <v>44735</v>
      </c>
      <c r="E84" s="54" t="s">
        <v>9</v>
      </c>
      <c r="F84" s="160">
        <v>9</v>
      </c>
      <c r="G84" s="197">
        <v>42</v>
      </c>
      <c r="H84" s="198">
        <f t="shared" si="5"/>
        <v>20.982460991879897</v>
      </c>
      <c r="I84" s="198">
        <f t="shared" si="20"/>
        <v>10.792264234856615</v>
      </c>
      <c r="J84" s="199">
        <f t="shared" si="2"/>
        <v>453.27509786397786</v>
      </c>
      <c r="K84" s="200">
        <f t="shared" si="11"/>
        <v>881.26336165895566</v>
      </c>
      <c r="L84" s="201">
        <f t="shared" si="24"/>
        <v>-427.9882637949778</v>
      </c>
      <c r="M84" s="202">
        <f t="shared" si="7"/>
        <v>-23.371197035829891</v>
      </c>
      <c r="N84" s="203">
        <f t="shared" si="8"/>
        <v>-451.35946083080768</v>
      </c>
      <c r="O84" s="202">
        <v>0</v>
      </c>
      <c r="P84" s="202">
        <v>0</v>
      </c>
      <c r="Q84" s="202">
        <v>0</v>
      </c>
      <c r="R84" s="203">
        <f t="shared" si="9"/>
        <v>-451.35946083080768</v>
      </c>
    </row>
    <row r="85" spans="1:18" x14ac:dyDescent="0.2">
      <c r="A85" s="160">
        <v>6</v>
      </c>
      <c r="B85" s="195">
        <f t="shared" si="4"/>
        <v>44713</v>
      </c>
      <c r="C85" s="216">
        <f t="shared" si="23"/>
        <v>44747</v>
      </c>
      <c r="D85" s="216">
        <f t="shared" si="23"/>
        <v>44767</v>
      </c>
      <c r="E85" s="54" t="s">
        <v>9</v>
      </c>
      <c r="F85" s="160">
        <v>9</v>
      </c>
      <c r="G85" s="197">
        <v>49</v>
      </c>
      <c r="H85" s="198">
        <f t="shared" ref="H85:H148" si="25">+$K$3</f>
        <v>20.982460991879897</v>
      </c>
      <c r="I85" s="198">
        <f t="shared" si="20"/>
        <v>10.792264234856615</v>
      </c>
      <c r="J85" s="199">
        <f t="shared" si="2"/>
        <v>528.8209475079741</v>
      </c>
      <c r="K85" s="200">
        <f t="shared" si="11"/>
        <v>1028.140588602115</v>
      </c>
      <c r="L85" s="205">
        <f t="shared" si="24"/>
        <v>-499.31964109414093</v>
      </c>
      <c r="M85" s="202">
        <f t="shared" ref="M85:M148" si="26">G85/$G$212*$M$14</f>
        <v>-27.266396541801541</v>
      </c>
      <c r="N85" s="203">
        <f t="shared" ref="N85:N148" si="27">SUM(L85:M85)</f>
        <v>-526.58603763594249</v>
      </c>
      <c r="O85" s="202">
        <v>0</v>
      </c>
      <c r="P85" s="202">
        <v>0</v>
      </c>
      <c r="Q85" s="202">
        <v>0</v>
      </c>
      <c r="R85" s="203">
        <f t="shared" ref="R85:R148" si="28">+N85-Q85</f>
        <v>-526.58603763594249</v>
      </c>
    </row>
    <row r="86" spans="1:18" x14ac:dyDescent="0.2">
      <c r="A86" s="124">
        <v>7</v>
      </c>
      <c r="B86" s="195">
        <f t="shared" si="4"/>
        <v>44743</v>
      </c>
      <c r="C86" s="216">
        <f t="shared" si="23"/>
        <v>44776</v>
      </c>
      <c r="D86" s="216">
        <f t="shared" si="23"/>
        <v>44796</v>
      </c>
      <c r="E86" s="54" t="s">
        <v>9</v>
      </c>
      <c r="F86" s="160">
        <v>9</v>
      </c>
      <c r="G86" s="197">
        <v>54</v>
      </c>
      <c r="H86" s="198">
        <f t="shared" si="25"/>
        <v>20.982460991879897</v>
      </c>
      <c r="I86" s="198">
        <f t="shared" si="20"/>
        <v>10.792264234856615</v>
      </c>
      <c r="J86" s="199">
        <f t="shared" si="2"/>
        <v>582.78226868225727</v>
      </c>
      <c r="K86" s="206">
        <f t="shared" si="11"/>
        <v>1133.0528935615143</v>
      </c>
      <c r="L86" s="205">
        <f t="shared" si="24"/>
        <v>-550.27062487925707</v>
      </c>
      <c r="M86" s="202">
        <f t="shared" si="26"/>
        <v>-30.048681903209861</v>
      </c>
      <c r="N86" s="203">
        <f t="shared" si="27"/>
        <v>-580.31930678246692</v>
      </c>
      <c r="O86" s="202">
        <v>0</v>
      </c>
      <c r="P86" s="202">
        <v>0</v>
      </c>
      <c r="Q86" s="202">
        <v>0</v>
      </c>
      <c r="R86" s="203">
        <f t="shared" si="28"/>
        <v>-580.31930678246692</v>
      </c>
    </row>
    <row r="87" spans="1:18" x14ac:dyDescent="0.2">
      <c r="A87" s="160">
        <v>8</v>
      </c>
      <c r="B87" s="195">
        <f t="shared" si="4"/>
        <v>44774</v>
      </c>
      <c r="C87" s="216">
        <f t="shared" si="23"/>
        <v>44809</v>
      </c>
      <c r="D87" s="216">
        <f t="shared" si="23"/>
        <v>44827</v>
      </c>
      <c r="E87" s="54" t="s">
        <v>9</v>
      </c>
      <c r="F87" s="160">
        <v>9</v>
      </c>
      <c r="G87" s="197">
        <v>47</v>
      </c>
      <c r="H87" s="198">
        <f t="shared" si="25"/>
        <v>20.982460991879897</v>
      </c>
      <c r="I87" s="198">
        <f t="shared" si="20"/>
        <v>10.792264234856615</v>
      </c>
      <c r="J87" s="199">
        <f t="shared" si="2"/>
        <v>507.23641903826092</v>
      </c>
      <c r="K87" s="206">
        <f t="shared" si="11"/>
        <v>986.17566661835519</v>
      </c>
      <c r="L87" s="205">
        <f t="shared" si="24"/>
        <v>-478.93924758009427</v>
      </c>
      <c r="M87" s="202">
        <f t="shared" si="26"/>
        <v>-26.153482397238214</v>
      </c>
      <c r="N87" s="203">
        <f t="shared" si="27"/>
        <v>-505.09272997733251</v>
      </c>
      <c r="O87" s="202">
        <v>0</v>
      </c>
      <c r="P87" s="202">
        <v>0</v>
      </c>
      <c r="Q87" s="202">
        <v>0</v>
      </c>
      <c r="R87" s="203">
        <f t="shared" si="28"/>
        <v>-505.09272997733251</v>
      </c>
    </row>
    <row r="88" spans="1:18" x14ac:dyDescent="0.2">
      <c r="A88" s="160">
        <v>9</v>
      </c>
      <c r="B88" s="195">
        <f t="shared" si="4"/>
        <v>44805</v>
      </c>
      <c r="C88" s="216">
        <f t="shared" si="23"/>
        <v>44839</v>
      </c>
      <c r="D88" s="216">
        <f t="shared" si="23"/>
        <v>44859</v>
      </c>
      <c r="E88" s="54" t="s">
        <v>9</v>
      </c>
      <c r="F88" s="160">
        <v>9</v>
      </c>
      <c r="G88" s="197">
        <v>47</v>
      </c>
      <c r="H88" s="198">
        <f t="shared" si="25"/>
        <v>20.982460991879897</v>
      </c>
      <c r="I88" s="198">
        <f t="shared" si="20"/>
        <v>10.792264234856615</v>
      </c>
      <c r="J88" s="199">
        <f t="shared" si="2"/>
        <v>507.23641903826092</v>
      </c>
      <c r="K88" s="206">
        <f t="shared" si="11"/>
        <v>986.17566661835519</v>
      </c>
      <c r="L88" s="205">
        <f t="shared" si="24"/>
        <v>-478.93924758009427</v>
      </c>
      <c r="M88" s="202">
        <f t="shared" si="26"/>
        <v>-26.153482397238214</v>
      </c>
      <c r="N88" s="203">
        <f t="shared" si="27"/>
        <v>-505.09272997733251</v>
      </c>
      <c r="O88" s="202">
        <v>0</v>
      </c>
      <c r="P88" s="202">
        <v>0</v>
      </c>
      <c r="Q88" s="202">
        <v>0</v>
      </c>
      <c r="R88" s="203">
        <f t="shared" si="28"/>
        <v>-505.09272997733251</v>
      </c>
    </row>
    <row r="89" spans="1:18" x14ac:dyDescent="0.2">
      <c r="A89" s="124">
        <v>10</v>
      </c>
      <c r="B89" s="195">
        <f t="shared" si="4"/>
        <v>44835</v>
      </c>
      <c r="C89" s="216">
        <f t="shared" si="23"/>
        <v>44868</v>
      </c>
      <c r="D89" s="216">
        <f t="shared" si="23"/>
        <v>44888</v>
      </c>
      <c r="E89" s="54" t="s">
        <v>9</v>
      </c>
      <c r="F89" s="160">
        <v>9</v>
      </c>
      <c r="G89" s="197">
        <v>39</v>
      </c>
      <c r="H89" s="198">
        <f t="shared" si="25"/>
        <v>20.982460991879897</v>
      </c>
      <c r="I89" s="198">
        <f t="shared" si="20"/>
        <v>10.792264234856615</v>
      </c>
      <c r="J89" s="199">
        <f t="shared" si="2"/>
        <v>420.89830515940798</v>
      </c>
      <c r="K89" s="206">
        <f t="shared" si="11"/>
        <v>818.31597868331596</v>
      </c>
      <c r="L89" s="205">
        <f t="shared" si="24"/>
        <v>-397.41767352390798</v>
      </c>
      <c r="M89" s="202">
        <f t="shared" si="26"/>
        <v>-21.701825818984897</v>
      </c>
      <c r="N89" s="203">
        <f t="shared" si="27"/>
        <v>-419.11949934289288</v>
      </c>
      <c r="O89" s="202">
        <v>0</v>
      </c>
      <c r="P89" s="202">
        <v>0</v>
      </c>
      <c r="Q89" s="202">
        <v>0</v>
      </c>
      <c r="R89" s="203">
        <f t="shared" si="28"/>
        <v>-419.11949934289288</v>
      </c>
    </row>
    <row r="90" spans="1:18" x14ac:dyDescent="0.2">
      <c r="A90" s="160">
        <v>11</v>
      </c>
      <c r="B90" s="195">
        <f t="shared" si="4"/>
        <v>44866</v>
      </c>
      <c r="C90" s="216">
        <f t="shared" si="23"/>
        <v>44900</v>
      </c>
      <c r="D90" s="216">
        <f t="shared" si="23"/>
        <v>44918</v>
      </c>
      <c r="E90" s="54" t="s">
        <v>9</v>
      </c>
      <c r="F90" s="160">
        <v>9</v>
      </c>
      <c r="G90" s="197">
        <v>45</v>
      </c>
      <c r="H90" s="198">
        <f t="shared" si="25"/>
        <v>20.982460991879897</v>
      </c>
      <c r="I90" s="198">
        <f t="shared" si="20"/>
        <v>10.792264234856615</v>
      </c>
      <c r="J90" s="199">
        <f t="shared" si="2"/>
        <v>485.65189056854769</v>
      </c>
      <c r="K90" s="206">
        <f t="shared" si="11"/>
        <v>944.21074463459536</v>
      </c>
      <c r="L90" s="205">
        <f t="shared" si="24"/>
        <v>-458.55885406604767</v>
      </c>
      <c r="M90" s="202">
        <f t="shared" si="26"/>
        <v>-25.040568252674884</v>
      </c>
      <c r="N90" s="203">
        <f t="shared" si="27"/>
        <v>-483.59942231872253</v>
      </c>
      <c r="O90" s="202">
        <v>0</v>
      </c>
      <c r="P90" s="202">
        <v>0</v>
      </c>
      <c r="Q90" s="202">
        <v>0</v>
      </c>
      <c r="R90" s="203">
        <f t="shared" si="28"/>
        <v>-483.59942231872253</v>
      </c>
    </row>
    <row r="91" spans="1:18" s="220" customFormat="1" x14ac:dyDescent="0.2">
      <c r="A91" s="160">
        <v>12</v>
      </c>
      <c r="B91" s="218">
        <f t="shared" si="4"/>
        <v>44896</v>
      </c>
      <c r="C91" s="216">
        <f t="shared" si="23"/>
        <v>44930</v>
      </c>
      <c r="D91" s="216">
        <f t="shared" si="23"/>
        <v>44950</v>
      </c>
      <c r="E91" s="219" t="s">
        <v>9</v>
      </c>
      <c r="F91" s="171">
        <v>9</v>
      </c>
      <c r="G91" s="207">
        <v>61</v>
      </c>
      <c r="H91" s="208">
        <f t="shared" si="25"/>
        <v>20.982460991879897</v>
      </c>
      <c r="I91" s="208">
        <f t="shared" si="20"/>
        <v>10.792264234856615</v>
      </c>
      <c r="J91" s="209">
        <f t="shared" si="2"/>
        <v>658.3281183262535</v>
      </c>
      <c r="K91" s="210">
        <f t="shared" si="11"/>
        <v>1279.9301205046738</v>
      </c>
      <c r="L91" s="211">
        <f t="shared" si="24"/>
        <v>-621.60200217842032</v>
      </c>
      <c r="M91" s="202">
        <f t="shared" si="26"/>
        <v>-33.943881409181508</v>
      </c>
      <c r="N91" s="203">
        <f t="shared" si="27"/>
        <v>-655.54588358760179</v>
      </c>
      <c r="O91" s="202">
        <v>0</v>
      </c>
      <c r="P91" s="202">
        <v>0</v>
      </c>
      <c r="Q91" s="202">
        <v>0</v>
      </c>
      <c r="R91" s="203">
        <f t="shared" si="28"/>
        <v>-655.54588358760179</v>
      </c>
    </row>
    <row r="92" spans="1:18" x14ac:dyDescent="0.2">
      <c r="A92" s="124">
        <v>1</v>
      </c>
      <c r="B92" s="195">
        <f t="shared" si="4"/>
        <v>44562</v>
      </c>
      <c r="C92" s="213">
        <f t="shared" ref="C92:D95" si="29">+C80</f>
        <v>44595</v>
      </c>
      <c r="D92" s="213">
        <f t="shared" si="29"/>
        <v>44615</v>
      </c>
      <c r="E92" s="196" t="s">
        <v>8</v>
      </c>
      <c r="F92" s="124">
        <v>9</v>
      </c>
      <c r="G92" s="197">
        <v>92</v>
      </c>
      <c r="H92" s="198">
        <f t="shared" si="25"/>
        <v>20.982460991879897</v>
      </c>
      <c r="I92" s="198">
        <f t="shared" si="20"/>
        <v>10.792264234856615</v>
      </c>
      <c r="J92" s="199">
        <f t="shared" si="2"/>
        <v>992.88830960680866</v>
      </c>
      <c r="K92" s="200">
        <f t="shared" si="11"/>
        <v>1930.3864112529504</v>
      </c>
      <c r="L92" s="201">
        <f t="shared" si="24"/>
        <v>-937.49810164614178</v>
      </c>
      <c r="M92" s="202">
        <f t="shared" si="26"/>
        <v>-51.194050649913095</v>
      </c>
      <c r="N92" s="203">
        <f t="shared" si="27"/>
        <v>-988.69215229605493</v>
      </c>
      <c r="O92" s="202">
        <v>0</v>
      </c>
      <c r="P92" s="202">
        <v>0</v>
      </c>
      <c r="Q92" s="202">
        <v>0</v>
      </c>
      <c r="R92" s="203">
        <f t="shared" si="28"/>
        <v>-988.69215229605493</v>
      </c>
    </row>
    <row r="93" spans="1:18" x14ac:dyDescent="0.2">
      <c r="A93" s="160">
        <v>2</v>
      </c>
      <c r="B93" s="195">
        <f t="shared" si="4"/>
        <v>44593</v>
      </c>
      <c r="C93" s="216">
        <f t="shared" si="29"/>
        <v>44623</v>
      </c>
      <c r="D93" s="216">
        <f t="shared" si="29"/>
        <v>44642</v>
      </c>
      <c r="E93" s="204" t="s">
        <v>8</v>
      </c>
      <c r="F93" s="160">
        <v>9</v>
      </c>
      <c r="G93" s="197">
        <v>88</v>
      </c>
      <c r="H93" s="198">
        <f t="shared" si="25"/>
        <v>20.982460991879897</v>
      </c>
      <c r="I93" s="198">
        <f t="shared" si="20"/>
        <v>10.792264234856615</v>
      </c>
      <c r="J93" s="199">
        <f t="shared" si="2"/>
        <v>949.71925266738219</v>
      </c>
      <c r="K93" s="200">
        <f t="shared" si="11"/>
        <v>1846.456567285431</v>
      </c>
      <c r="L93" s="201">
        <f t="shared" si="24"/>
        <v>-896.7373146180488</v>
      </c>
      <c r="M93" s="202">
        <f t="shared" si="26"/>
        <v>-48.968222360786442</v>
      </c>
      <c r="N93" s="203">
        <f t="shared" si="27"/>
        <v>-945.7055369788352</v>
      </c>
      <c r="O93" s="202">
        <v>0</v>
      </c>
      <c r="P93" s="202">
        <v>0</v>
      </c>
      <c r="Q93" s="202">
        <v>0</v>
      </c>
      <c r="R93" s="203">
        <f t="shared" si="28"/>
        <v>-945.7055369788352</v>
      </c>
    </row>
    <row r="94" spans="1:18" x14ac:dyDescent="0.2">
      <c r="A94" s="160">
        <v>3</v>
      </c>
      <c r="B94" s="195">
        <f t="shared" si="4"/>
        <v>44621</v>
      </c>
      <c r="C94" s="216">
        <f t="shared" si="29"/>
        <v>44656</v>
      </c>
      <c r="D94" s="216">
        <f t="shared" si="29"/>
        <v>44676</v>
      </c>
      <c r="E94" s="204" t="s">
        <v>8</v>
      </c>
      <c r="F94" s="160">
        <v>9</v>
      </c>
      <c r="G94" s="197">
        <v>71</v>
      </c>
      <c r="H94" s="198">
        <f t="shared" si="25"/>
        <v>20.982460991879897</v>
      </c>
      <c r="I94" s="198">
        <f t="shared" si="20"/>
        <v>10.792264234856615</v>
      </c>
      <c r="J94" s="199">
        <f t="shared" si="2"/>
        <v>766.25076067481973</v>
      </c>
      <c r="K94" s="200">
        <f t="shared" ref="K94:K133" si="30">+$G94*H94</f>
        <v>1489.7547304234727</v>
      </c>
      <c r="L94" s="201">
        <f>+J94-K94</f>
        <v>-723.50396974865293</v>
      </c>
      <c r="M94" s="202">
        <f t="shared" si="26"/>
        <v>-39.508452131998148</v>
      </c>
      <c r="N94" s="203">
        <f t="shared" si="27"/>
        <v>-763.01242188065112</v>
      </c>
      <c r="O94" s="202">
        <v>0</v>
      </c>
      <c r="P94" s="202">
        <v>0</v>
      </c>
      <c r="Q94" s="202">
        <v>0</v>
      </c>
      <c r="R94" s="203">
        <f t="shared" si="28"/>
        <v>-763.01242188065112</v>
      </c>
    </row>
    <row r="95" spans="1:18" x14ac:dyDescent="0.2">
      <c r="A95" s="124">
        <v>4</v>
      </c>
      <c r="B95" s="195">
        <f t="shared" si="4"/>
        <v>44652</v>
      </c>
      <c r="C95" s="216">
        <f t="shared" si="29"/>
        <v>44685</v>
      </c>
      <c r="D95" s="216">
        <f t="shared" si="29"/>
        <v>44705</v>
      </c>
      <c r="E95" s="204" t="s">
        <v>8</v>
      </c>
      <c r="F95" s="160">
        <v>9</v>
      </c>
      <c r="G95" s="197">
        <v>76</v>
      </c>
      <c r="H95" s="198">
        <f t="shared" si="25"/>
        <v>20.982460991879897</v>
      </c>
      <c r="I95" s="198">
        <f t="shared" si="20"/>
        <v>10.792264234856615</v>
      </c>
      <c r="J95" s="199">
        <f t="shared" si="2"/>
        <v>820.21208184910279</v>
      </c>
      <c r="K95" s="200">
        <f t="shared" si="30"/>
        <v>1594.6670353828722</v>
      </c>
      <c r="L95" s="201">
        <f t="shared" ref="L95:L105" si="31">+J95-K95</f>
        <v>-774.45495353376941</v>
      </c>
      <c r="M95" s="202">
        <f t="shared" si="26"/>
        <v>-42.290737493406475</v>
      </c>
      <c r="N95" s="203">
        <f t="shared" si="27"/>
        <v>-816.74569102717589</v>
      </c>
      <c r="O95" s="202">
        <v>0</v>
      </c>
      <c r="P95" s="202">
        <v>0</v>
      </c>
      <c r="Q95" s="202">
        <v>0</v>
      </c>
      <c r="R95" s="203">
        <f t="shared" si="28"/>
        <v>-816.74569102717589</v>
      </c>
    </row>
    <row r="96" spans="1:18" x14ac:dyDescent="0.2">
      <c r="A96" s="160">
        <v>5</v>
      </c>
      <c r="B96" s="195">
        <f t="shared" si="4"/>
        <v>44682</v>
      </c>
      <c r="C96" s="216">
        <f t="shared" ref="C96:D116" si="32">+C84</f>
        <v>44715</v>
      </c>
      <c r="D96" s="216">
        <f t="shared" si="32"/>
        <v>44735</v>
      </c>
      <c r="E96" s="54" t="s">
        <v>8</v>
      </c>
      <c r="F96" s="160">
        <v>9</v>
      </c>
      <c r="G96" s="197">
        <v>134</v>
      </c>
      <c r="H96" s="198">
        <f t="shared" si="25"/>
        <v>20.982460991879897</v>
      </c>
      <c r="I96" s="198">
        <f t="shared" si="20"/>
        <v>10.792264234856615</v>
      </c>
      <c r="J96" s="199">
        <f t="shared" si="2"/>
        <v>1446.1634074707865</v>
      </c>
      <c r="K96" s="200">
        <f t="shared" si="30"/>
        <v>2811.649772911906</v>
      </c>
      <c r="L96" s="201">
        <f t="shared" si="31"/>
        <v>-1365.4863654411195</v>
      </c>
      <c r="M96" s="202">
        <f t="shared" si="26"/>
        <v>-74.565247685742989</v>
      </c>
      <c r="N96" s="203">
        <f t="shared" si="27"/>
        <v>-1440.0516131268625</v>
      </c>
      <c r="O96" s="202">
        <v>0</v>
      </c>
      <c r="P96" s="202">
        <v>0</v>
      </c>
      <c r="Q96" s="202">
        <v>0</v>
      </c>
      <c r="R96" s="203">
        <f t="shared" si="28"/>
        <v>-1440.0516131268625</v>
      </c>
    </row>
    <row r="97" spans="1:18" x14ac:dyDescent="0.2">
      <c r="A97" s="160">
        <v>6</v>
      </c>
      <c r="B97" s="195">
        <f t="shared" si="4"/>
        <v>44713</v>
      </c>
      <c r="C97" s="216">
        <f t="shared" si="32"/>
        <v>44747</v>
      </c>
      <c r="D97" s="216">
        <f t="shared" si="32"/>
        <v>44767</v>
      </c>
      <c r="E97" s="54" t="s">
        <v>8</v>
      </c>
      <c r="F97" s="160">
        <v>9</v>
      </c>
      <c r="G97" s="197">
        <v>145</v>
      </c>
      <c r="H97" s="198">
        <f t="shared" si="25"/>
        <v>20.982460991879897</v>
      </c>
      <c r="I97" s="198">
        <f t="shared" si="20"/>
        <v>10.792264234856615</v>
      </c>
      <c r="J97" s="199">
        <f t="shared" si="2"/>
        <v>1564.8783140542091</v>
      </c>
      <c r="K97" s="200">
        <f t="shared" si="30"/>
        <v>3042.4568438225851</v>
      </c>
      <c r="L97" s="205">
        <f t="shared" si="31"/>
        <v>-1477.578529768376</v>
      </c>
      <c r="M97" s="202">
        <f t="shared" si="26"/>
        <v>-80.686275480841289</v>
      </c>
      <c r="N97" s="203">
        <f t="shared" si="27"/>
        <v>-1558.2648052492173</v>
      </c>
      <c r="O97" s="202">
        <v>0</v>
      </c>
      <c r="P97" s="202">
        <v>0</v>
      </c>
      <c r="Q97" s="202">
        <v>0</v>
      </c>
      <c r="R97" s="203">
        <f t="shared" si="28"/>
        <v>-1558.2648052492173</v>
      </c>
    </row>
    <row r="98" spans="1:18" x14ac:dyDescent="0.2">
      <c r="A98" s="124">
        <v>7</v>
      </c>
      <c r="B98" s="195">
        <f t="shared" si="4"/>
        <v>44743</v>
      </c>
      <c r="C98" s="216">
        <f t="shared" si="32"/>
        <v>44776</v>
      </c>
      <c r="D98" s="216">
        <f t="shared" si="32"/>
        <v>44796</v>
      </c>
      <c r="E98" s="54" t="s">
        <v>8</v>
      </c>
      <c r="F98" s="160">
        <v>9</v>
      </c>
      <c r="G98" s="197">
        <v>161</v>
      </c>
      <c r="H98" s="198">
        <f t="shared" si="25"/>
        <v>20.982460991879897</v>
      </c>
      <c r="I98" s="198">
        <f t="shared" si="20"/>
        <v>10.792264234856615</v>
      </c>
      <c r="J98" s="199">
        <f t="shared" si="2"/>
        <v>1737.554541811915</v>
      </c>
      <c r="K98" s="206">
        <f t="shared" si="30"/>
        <v>3378.1762196926634</v>
      </c>
      <c r="L98" s="205">
        <f t="shared" si="31"/>
        <v>-1640.6216778807484</v>
      </c>
      <c r="M98" s="202">
        <f t="shared" si="26"/>
        <v>-89.589588637347916</v>
      </c>
      <c r="N98" s="203">
        <f t="shared" si="27"/>
        <v>-1730.2112665180964</v>
      </c>
      <c r="O98" s="202">
        <v>0</v>
      </c>
      <c r="P98" s="202">
        <v>0</v>
      </c>
      <c r="Q98" s="202">
        <v>0</v>
      </c>
      <c r="R98" s="203">
        <f t="shared" si="28"/>
        <v>-1730.2112665180964</v>
      </c>
    </row>
    <row r="99" spans="1:18" x14ac:dyDescent="0.2">
      <c r="A99" s="160">
        <v>8</v>
      </c>
      <c r="B99" s="195">
        <f t="shared" si="4"/>
        <v>44774</v>
      </c>
      <c r="C99" s="216">
        <f t="shared" si="32"/>
        <v>44809</v>
      </c>
      <c r="D99" s="216">
        <f t="shared" si="32"/>
        <v>44827</v>
      </c>
      <c r="E99" s="54" t="s">
        <v>8</v>
      </c>
      <c r="F99" s="160">
        <v>9</v>
      </c>
      <c r="G99" s="197">
        <v>154</v>
      </c>
      <c r="H99" s="198">
        <f t="shared" si="25"/>
        <v>20.982460991879897</v>
      </c>
      <c r="I99" s="198">
        <f t="shared" si="20"/>
        <v>10.792264234856615</v>
      </c>
      <c r="J99" s="199">
        <f t="shared" si="2"/>
        <v>1662.0086921679188</v>
      </c>
      <c r="K99" s="206">
        <f t="shared" si="30"/>
        <v>3231.2989927495041</v>
      </c>
      <c r="L99" s="205">
        <f t="shared" si="31"/>
        <v>-1569.2903005815854</v>
      </c>
      <c r="M99" s="202">
        <f t="shared" si="26"/>
        <v>-85.694389131376269</v>
      </c>
      <c r="N99" s="203">
        <f t="shared" si="27"/>
        <v>-1654.9846897129617</v>
      </c>
      <c r="O99" s="202">
        <v>0</v>
      </c>
      <c r="P99" s="202">
        <v>0</v>
      </c>
      <c r="Q99" s="202">
        <v>0</v>
      </c>
      <c r="R99" s="203">
        <f t="shared" si="28"/>
        <v>-1654.9846897129617</v>
      </c>
    </row>
    <row r="100" spans="1:18" x14ac:dyDescent="0.2">
      <c r="A100" s="160">
        <v>9</v>
      </c>
      <c r="B100" s="195">
        <f t="shared" si="4"/>
        <v>44805</v>
      </c>
      <c r="C100" s="216">
        <f t="shared" si="32"/>
        <v>44839</v>
      </c>
      <c r="D100" s="216">
        <f t="shared" si="32"/>
        <v>44859</v>
      </c>
      <c r="E100" s="54" t="s">
        <v>8</v>
      </c>
      <c r="F100" s="160">
        <v>9</v>
      </c>
      <c r="G100" s="197">
        <v>132</v>
      </c>
      <c r="H100" s="198">
        <f t="shared" si="25"/>
        <v>20.982460991879897</v>
      </c>
      <c r="I100" s="198">
        <f t="shared" si="20"/>
        <v>10.792264234856615</v>
      </c>
      <c r="J100" s="199">
        <f t="shared" si="2"/>
        <v>1424.5788790010731</v>
      </c>
      <c r="K100" s="206">
        <f t="shared" si="30"/>
        <v>2769.6848509281463</v>
      </c>
      <c r="L100" s="205">
        <f t="shared" si="31"/>
        <v>-1345.1059719270731</v>
      </c>
      <c r="M100" s="202">
        <f t="shared" si="26"/>
        <v>-73.452333541179655</v>
      </c>
      <c r="N100" s="203">
        <f t="shared" si="27"/>
        <v>-1418.5583054682529</v>
      </c>
      <c r="O100" s="202">
        <v>0</v>
      </c>
      <c r="P100" s="202">
        <v>0</v>
      </c>
      <c r="Q100" s="202">
        <v>0</v>
      </c>
      <c r="R100" s="203">
        <f t="shared" si="28"/>
        <v>-1418.5583054682529</v>
      </c>
    </row>
    <row r="101" spans="1:18" x14ac:dyDescent="0.2">
      <c r="A101" s="124">
        <v>10</v>
      </c>
      <c r="B101" s="195">
        <f t="shared" si="4"/>
        <v>44835</v>
      </c>
      <c r="C101" s="216">
        <f t="shared" si="32"/>
        <v>44868</v>
      </c>
      <c r="D101" s="216">
        <f t="shared" si="32"/>
        <v>44888</v>
      </c>
      <c r="E101" s="54" t="s">
        <v>8</v>
      </c>
      <c r="F101" s="160">
        <v>9</v>
      </c>
      <c r="G101" s="197">
        <v>91</v>
      </c>
      <c r="H101" s="198">
        <f t="shared" si="25"/>
        <v>20.982460991879897</v>
      </c>
      <c r="I101" s="198">
        <f t="shared" si="20"/>
        <v>10.792264234856615</v>
      </c>
      <c r="J101" s="199">
        <f t="shared" si="2"/>
        <v>982.09604537195196</v>
      </c>
      <c r="K101" s="206">
        <f t="shared" si="30"/>
        <v>1909.4039502610706</v>
      </c>
      <c r="L101" s="205">
        <f t="shared" si="31"/>
        <v>-927.30790488911862</v>
      </c>
      <c r="M101" s="202">
        <f t="shared" si="26"/>
        <v>-50.637593577631428</v>
      </c>
      <c r="N101" s="203">
        <f t="shared" si="27"/>
        <v>-977.94549846675</v>
      </c>
      <c r="O101" s="202">
        <v>0</v>
      </c>
      <c r="P101" s="202">
        <v>0</v>
      </c>
      <c r="Q101" s="202">
        <v>0</v>
      </c>
      <c r="R101" s="203">
        <f t="shared" si="28"/>
        <v>-977.94549846675</v>
      </c>
    </row>
    <row r="102" spans="1:18" x14ac:dyDescent="0.2">
      <c r="A102" s="160">
        <v>11</v>
      </c>
      <c r="B102" s="195">
        <f t="shared" si="4"/>
        <v>44866</v>
      </c>
      <c r="C102" s="216">
        <f t="shared" si="32"/>
        <v>44900</v>
      </c>
      <c r="D102" s="216">
        <f t="shared" si="32"/>
        <v>44918</v>
      </c>
      <c r="E102" s="54" t="s">
        <v>8</v>
      </c>
      <c r="F102" s="160">
        <v>9</v>
      </c>
      <c r="G102" s="197">
        <v>67</v>
      </c>
      <c r="H102" s="198">
        <f t="shared" si="25"/>
        <v>20.982460991879897</v>
      </c>
      <c r="I102" s="198">
        <f t="shared" si="20"/>
        <v>10.792264234856615</v>
      </c>
      <c r="J102" s="199">
        <f t="shared" si="2"/>
        <v>723.08170373539326</v>
      </c>
      <c r="K102" s="206">
        <f t="shared" si="30"/>
        <v>1405.824886455953</v>
      </c>
      <c r="L102" s="205">
        <f t="shared" si="31"/>
        <v>-682.74318272055973</v>
      </c>
      <c r="M102" s="202">
        <f t="shared" si="26"/>
        <v>-37.282623842871494</v>
      </c>
      <c r="N102" s="203">
        <f t="shared" si="27"/>
        <v>-720.02580656343127</v>
      </c>
      <c r="O102" s="202">
        <v>0</v>
      </c>
      <c r="P102" s="202">
        <v>0</v>
      </c>
      <c r="Q102" s="202">
        <v>0</v>
      </c>
      <c r="R102" s="203">
        <f t="shared" si="28"/>
        <v>-720.02580656343127</v>
      </c>
    </row>
    <row r="103" spans="1:18" s="220" customFormat="1" x14ac:dyDescent="0.2">
      <c r="A103" s="160">
        <v>12</v>
      </c>
      <c r="B103" s="218">
        <f t="shared" si="4"/>
        <v>44896</v>
      </c>
      <c r="C103" s="216">
        <f t="shared" si="32"/>
        <v>44930</v>
      </c>
      <c r="D103" s="216">
        <f t="shared" si="32"/>
        <v>44950</v>
      </c>
      <c r="E103" s="219" t="s">
        <v>8</v>
      </c>
      <c r="F103" s="171">
        <v>9</v>
      </c>
      <c r="G103" s="207">
        <v>96</v>
      </c>
      <c r="H103" s="208">
        <f t="shared" si="25"/>
        <v>20.982460991879897</v>
      </c>
      <c r="I103" s="208">
        <f t="shared" si="20"/>
        <v>10.792264234856615</v>
      </c>
      <c r="J103" s="209">
        <f t="shared" si="2"/>
        <v>1036.057366546235</v>
      </c>
      <c r="K103" s="210">
        <f t="shared" si="30"/>
        <v>2014.3162552204701</v>
      </c>
      <c r="L103" s="211">
        <f t="shared" si="31"/>
        <v>-978.2588886742351</v>
      </c>
      <c r="M103" s="202">
        <f t="shared" si="26"/>
        <v>-53.419878939039748</v>
      </c>
      <c r="N103" s="203">
        <f t="shared" si="27"/>
        <v>-1031.6787676132749</v>
      </c>
      <c r="O103" s="202">
        <v>0</v>
      </c>
      <c r="P103" s="202">
        <v>0</v>
      </c>
      <c r="Q103" s="202">
        <v>0</v>
      </c>
      <c r="R103" s="203">
        <f t="shared" si="28"/>
        <v>-1031.6787676132749</v>
      </c>
    </row>
    <row r="104" spans="1:18" x14ac:dyDescent="0.2">
      <c r="A104" s="124">
        <v>1</v>
      </c>
      <c r="B104" s="195">
        <f t="shared" si="4"/>
        <v>44562</v>
      </c>
      <c r="C104" s="213">
        <f t="shared" si="32"/>
        <v>44595</v>
      </c>
      <c r="D104" s="213">
        <f t="shared" si="32"/>
        <v>44615</v>
      </c>
      <c r="E104" s="196" t="s">
        <v>19</v>
      </c>
      <c r="F104" s="124">
        <v>9</v>
      </c>
      <c r="G104" s="197">
        <v>42</v>
      </c>
      <c r="H104" s="198">
        <f t="shared" si="25"/>
        <v>20.982460991879897</v>
      </c>
      <c r="I104" s="198">
        <f t="shared" si="20"/>
        <v>10.792264234856615</v>
      </c>
      <c r="J104" s="199">
        <f t="shared" si="2"/>
        <v>453.27509786397786</v>
      </c>
      <c r="K104" s="200">
        <f t="shared" si="30"/>
        <v>881.26336165895566</v>
      </c>
      <c r="L104" s="201">
        <f t="shared" si="31"/>
        <v>-427.9882637949778</v>
      </c>
      <c r="M104" s="202">
        <f t="shared" si="26"/>
        <v>-23.371197035829891</v>
      </c>
      <c r="N104" s="203">
        <f t="shared" si="27"/>
        <v>-451.35946083080768</v>
      </c>
      <c r="O104" s="202">
        <v>0</v>
      </c>
      <c r="P104" s="202">
        <v>0</v>
      </c>
      <c r="Q104" s="202">
        <v>0</v>
      </c>
      <c r="R104" s="203">
        <f t="shared" si="28"/>
        <v>-451.35946083080768</v>
      </c>
    </row>
    <row r="105" spans="1:18" x14ac:dyDescent="0.2">
      <c r="A105" s="160">
        <v>2</v>
      </c>
      <c r="B105" s="195">
        <f t="shared" si="4"/>
        <v>44593</v>
      </c>
      <c r="C105" s="216">
        <f t="shared" si="32"/>
        <v>44623</v>
      </c>
      <c r="D105" s="216">
        <f t="shared" si="32"/>
        <v>44642</v>
      </c>
      <c r="E105" s="204" t="s">
        <v>19</v>
      </c>
      <c r="F105" s="160">
        <v>9</v>
      </c>
      <c r="G105" s="197">
        <v>43</v>
      </c>
      <c r="H105" s="198">
        <f t="shared" si="25"/>
        <v>20.982460991879897</v>
      </c>
      <c r="I105" s="198">
        <f t="shared" si="20"/>
        <v>10.792264234856615</v>
      </c>
      <c r="J105" s="199">
        <f t="shared" si="2"/>
        <v>464.06736209883445</v>
      </c>
      <c r="K105" s="200">
        <f t="shared" si="30"/>
        <v>902.24582265083552</v>
      </c>
      <c r="L105" s="201">
        <f t="shared" si="31"/>
        <v>-438.17846055200107</v>
      </c>
      <c r="M105" s="202">
        <f t="shared" si="26"/>
        <v>-23.927654108111557</v>
      </c>
      <c r="N105" s="203">
        <f t="shared" si="27"/>
        <v>-462.10611466011261</v>
      </c>
      <c r="O105" s="202">
        <v>0</v>
      </c>
      <c r="P105" s="202">
        <v>0</v>
      </c>
      <c r="Q105" s="202">
        <v>0</v>
      </c>
      <c r="R105" s="203">
        <f t="shared" si="28"/>
        <v>-462.10611466011261</v>
      </c>
    </row>
    <row r="106" spans="1:18" x14ac:dyDescent="0.2">
      <c r="A106" s="160">
        <v>3</v>
      </c>
      <c r="B106" s="195">
        <f t="shared" si="4"/>
        <v>44621</v>
      </c>
      <c r="C106" s="216">
        <f t="shared" si="32"/>
        <v>44656</v>
      </c>
      <c r="D106" s="216">
        <f t="shared" si="32"/>
        <v>44676</v>
      </c>
      <c r="E106" s="204" t="s">
        <v>19</v>
      </c>
      <c r="F106" s="160">
        <v>9</v>
      </c>
      <c r="G106" s="197">
        <v>42</v>
      </c>
      <c r="H106" s="198">
        <f t="shared" si="25"/>
        <v>20.982460991879897</v>
      </c>
      <c r="I106" s="198">
        <f t="shared" si="20"/>
        <v>10.792264234856615</v>
      </c>
      <c r="J106" s="199">
        <f t="shared" si="2"/>
        <v>453.27509786397786</v>
      </c>
      <c r="K106" s="200">
        <f t="shared" si="30"/>
        <v>881.26336165895566</v>
      </c>
      <c r="L106" s="201">
        <f>+J106-K106</f>
        <v>-427.9882637949778</v>
      </c>
      <c r="M106" s="202">
        <f t="shared" si="26"/>
        <v>-23.371197035829891</v>
      </c>
      <c r="N106" s="203">
        <f t="shared" si="27"/>
        <v>-451.35946083080768</v>
      </c>
      <c r="O106" s="202">
        <v>0</v>
      </c>
      <c r="P106" s="202">
        <v>0</v>
      </c>
      <c r="Q106" s="202">
        <v>0</v>
      </c>
      <c r="R106" s="203">
        <f t="shared" si="28"/>
        <v>-451.35946083080768</v>
      </c>
    </row>
    <row r="107" spans="1:18" x14ac:dyDescent="0.2">
      <c r="A107" s="124">
        <v>4</v>
      </c>
      <c r="B107" s="195">
        <f t="shared" si="4"/>
        <v>44652</v>
      </c>
      <c r="C107" s="216">
        <f t="shared" si="32"/>
        <v>44685</v>
      </c>
      <c r="D107" s="216">
        <f t="shared" si="32"/>
        <v>44705</v>
      </c>
      <c r="E107" s="54" t="s">
        <v>19</v>
      </c>
      <c r="F107" s="160">
        <v>9</v>
      </c>
      <c r="G107" s="197">
        <v>52</v>
      </c>
      <c r="H107" s="198">
        <f t="shared" si="25"/>
        <v>20.982460991879897</v>
      </c>
      <c r="I107" s="198">
        <f t="shared" si="20"/>
        <v>10.792264234856615</v>
      </c>
      <c r="J107" s="199">
        <f t="shared" si="2"/>
        <v>561.19774021254398</v>
      </c>
      <c r="K107" s="200">
        <f t="shared" si="30"/>
        <v>1091.0879715777546</v>
      </c>
      <c r="L107" s="201">
        <f t="shared" ref="L107:L115" si="33">+J107-K107</f>
        <v>-529.89023136521064</v>
      </c>
      <c r="M107" s="202">
        <f t="shared" si="26"/>
        <v>-28.935767758646531</v>
      </c>
      <c r="N107" s="203">
        <f t="shared" si="27"/>
        <v>-558.82599912385717</v>
      </c>
      <c r="O107" s="202">
        <v>0</v>
      </c>
      <c r="P107" s="202">
        <v>0</v>
      </c>
      <c r="Q107" s="202">
        <v>0</v>
      </c>
      <c r="R107" s="203">
        <f t="shared" si="28"/>
        <v>-558.82599912385717</v>
      </c>
    </row>
    <row r="108" spans="1:18" x14ac:dyDescent="0.2">
      <c r="A108" s="160">
        <v>5</v>
      </c>
      <c r="B108" s="195">
        <f t="shared" si="4"/>
        <v>44682</v>
      </c>
      <c r="C108" s="216">
        <f t="shared" si="32"/>
        <v>44715</v>
      </c>
      <c r="D108" s="216">
        <f t="shared" si="32"/>
        <v>44735</v>
      </c>
      <c r="E108" s="54" t="s">
        <v>19</v>
      </c>
      <c r="F108" s="160">
        <v>9</v>
      </c>
      <c r="G108" s="197">
        <v>52</v>
      </c>
      <c r="H108" s="198">
        <f t="shared" si="25"/>
        <v>20.982460991879897</v>
      </c>
      <c r="I108" s="198">
        <f t="shared" ref="I108:I127" si="34">$J$3</f>
        <v>10.792264234856615</v>
      </c>
      <c r="J108" s="199">
        <f t="shared" si="2"/>
        <v>561.19774021254398</v>
      </c>
      <c r="K108" s="200">
        <f t="shared" si="30"/>
        <v>1091.0879715777546</v>
      </c>
      <c r="L108" s="201">
        <f t="shared" si="33"/>
        <v>-529.89023136521064</v>
      </c>
      <c r="M108" s="202">
        <f t="shared" si="26"/>
        <v>-28.935767758646531</v>
      </c>
      <c r="N108" s="203">
        <f t="shared" si="27"/>
        <v>-558.82599912385717</v>
      </c>
      <c r="O108" s="202">
        <v>0</v>
      </c>
      <c r="P108" s="202">
        <v>0</v>
      </c>
      <c r="Q108" s="202">
        <v>0</v>
      </c>
      <c r="R108" s="203">
        <f t="shared" si="28"/>
        <v>-558.82599912385717</v>
      </c>
    </row>
    <row r="109" spans="1:18" x14ac:dyDescent="0.2">
      <c r="A109" s="160">
        <v>6</v>
      </c>
      <c r="B109" s="195">
        <f t="shared" ref="B109:B148" si="35">DATE($R$1,A109,1)</f>
        <v>44713</v>
      </c>
      <c r="C109" s="216">
        <f t="shared" si="32"/>
        <v>44747</v>
      </c>
      <c r="D109" s="216">
        <f t="shared" si="32"/>
        <v>44767</v>
      </c>
      <c r="E109" s="54" t="s">
        <v>19</v>
      </c>
      <c r="F109" s="160">
        <v>9</v>
      </c>
      <c r="G109" s="197">
        <v>56</v>
      </c>
      <c r="H109" s="198">
        <f t="shared" si="25"/>
        <v>20.982460991879897</v>
      </c>
      <c r="I109" s="198">
        <f t="shared" si="34"/>
        <v>10.792264234856615</v>
      </c>
      <c r="J109" s="199">
        <f t="shared" ref="J109:J148" si="36">+$G109*I109</f>
        <v>604.36679715197045</v>
      </c>
      <c r="K109" s="200">
        <f t="shared" si="30"/>
        <v>1175.0178155452743</v>
      </c>
      <c r="L109" s="205">
        <f t="shared" si="33"/>
        <v>-570.65101839330384</v>
      </c>
      <c r="M109" s="202">
        <f t="shared" si="26"/>
        <v>-31.161596047773187</v>
      </c>
      <c r="N109" s="203">
        <f t="shared" si="27"/>
        <v>-601.81261444107702</v>
      </c>
      <c r="O109" s="202">
        <v>0</v>
      </c>
      <c r="P109" s="202">
        <v>0</v>
      </c>
      <c r="Q109" s="202">
        <v>0</v>
      </c>
      <c r="R109" s="203">
        <f t="shared" si="28"/>
        <v>-601.81261444107702</v>
      </c>
    </row>
    <row r="110" spans="1:18" x14ac:dyDescent="0.2">
      <c r="A110" s="124">
        <v>7</v>
      </c>
      <c r="B110" s="195">
        <f t="shared" si="35"/>
        <v>44743</v>
      </c>
      <c r="C110" s="216">
        <f t="shared" si="32"/>
        <v>44776</v>
      </c>
      <c r="D110" s="216">
        <f t="shared" si="32"/>
        <v>44796</v>
      </c>
      <c r="E110" s="54" t="s">
        <v>19</v>
      </c>
      <c r="F110" s="160">
        <v>9</v>
      </c>
      <c r="G110" s="197">
        <v>58</v>
      </c>
      <c r="H110" s="198">
        <f t="shared" si="25"/>
        <v>20.982460991879897</v>
      </c>
      <c r="I110" s="198">
        <f t="shared" si="34"/>
        <v>10.792264234856615</v>
      </c>
      <c r="J110" s="199">
        <f t="shared" si="36"/>
        <v>625.95132562168374</v>
      </c>
      <c r="K110" s="206">
        <f t="shared" si="30"/>
        <v>1216.982737529034</v>
      </c>
      <c r="L110" s="205">
        <f t="shared" si="33"/>
        <v>-591.03141190735028</v>
      </c>
      <c r="M110" s="202">
        <f t="shared" si="26"/>
        <v>-32.274510192336521</v>
      </c>
      <c r="N110" s="203">
        <f t="shared" si="27"/>
        <v>-623.30592209968677</v>
      </c>
      <c r="O110" s="202">
        <v>0</v>
      </c>
      <c r="P110" s="202">
        <v>0</v>
      </c>
      <c r="Q110" s="202">
        <v>0</v>
      </c>
      <c r="R110" s="203">
        <f t="shared" si="28"/>
        <v>-623.30592209968677</v>
      </c>
    </row>
    <row r="111" spans="1:18" x14ac:dyDescent="0.2">
      <c r="A111" s="160">
        <v>8</v>
      </c>
      <c r="B111" s="195">
        <f t="shared" si="35"/>
        <v>44774</v>
      </c>
      <c r="C111" s="216">
        <f t="shared" si="32"/>
        <v>44809</v>
      </c>
      <c r="D111" s="216">
        <f t="shared" si="32"/>
        <v>44827</v>
      </c>
      <c r="E111" s="54" t="s">
        <v>19</v>
      </c>
      <c r="F111" s="160">
        <v>9</v>
      </c>
      <c r="G111" s="197">
        <v>60</v>
      </c>
      <c r="H111" s="198">
        <f t="shared" si="25"/>
        <v>20.982460991879897</v>
      </c>
      <c r="I111" s="198">
        <f t="shared" si="34"/>
        <v>10.792264234856615</v>
      </c>
      <c r="J111" s="199">
        <f t="shared" si="36"/>
        <v>647.53585409139691</v>
      </c>
      <c r="K111" s="206">
        <f t="shared" si="30"/>
        <v>1258.9476595127937</v>
      </c>
      <c r="L111" s="205">
        <f t="shared" si="33"/>
        <v>-611.41180542139682</v>
      </c>
      <c r="M111" s="202">
        <f t="shared" si="26"/>
        <v>-33.387424336899841</v>
      </c>
      <c r="N111" s="203">
        <f t="shared" si="27"/>
        <v>-644.79922975829663</v>
      </c>
      <c r="O111" s="202">
        <v>0</v>
      </c>
      <c r="P111" s="202">
        <v>0</v>
      </c>
      <c r="Q111" s="202">
        <v>0</v>
      </c>
      <c r="R111" s="203">
        <f t="shared" si="28"/>
        <v>-644.79922975829663</v>
      </c>
    </row>
    <row r="112" spans="1:18" x14ac:dyDescent="0.2">
      <c r="A112" s="160">
        <v>9</v>
      </c>
      <c r="B112" s="195">
        <f t="shared" si="35"/>
        <v>44805</v>
      </c>
      <c r="C112" s="216">
        <f t="shared" si="32"/>
        <v>44839</v>
      </c>
      <c r="D112" s="216">
        <f t="shared" si="32"/>
        <v>44859</v>
      </c>
      <c r="E112" s="54" t="s">
        <v>19</v>
      </c>
      <c r="F112" s="160">
        <v>9</v>
      </c>
      <c r="G112" s="197">
        <v>58</v>
      </c>
      <c r="H112" s="198">
        <f t="shared" si="25"/>
        <v>20.982460991879897</v>
      </c>
      <c r="I112" s="198">
        <f t="shared" si="34"/>
        <v>10.792264234856615</v>
      </c>
      <c r="J112" s="199">
        <f t="shared" si="36"/>
        <v>625.95132562168374</v>
      </c>
      <c r="K112" s="206">
        <f t="shared" si="30"/>
        <v>1216.982737529034</v>
      </c>
      <c r="L112" s="205">
        <f t="shared" si="33"/>
        <v>-591.03141190735028</v>
      </c>
      <c r="M112" s="202">
        <f t="shared" si="26"/>
        <v>-32.274510192336521</v>
      </c>
      <c r="N112" s="203">
        <f t="shared" si="27"/>
        <v>-623.30592209968677</v>
      </c>
      <c r="O112" s="202">
        <v>0</v>
      </c>
      <c r="P112" s="202">
        <v>0</v>
      </c>
      <c r="Q112" s="202">
        <v>0</v>
      </c>
      <c r="R112" s="203">
        <f t="shared" si="28"/>
        <v>-623.30592209968677</v>
      </c>
    </row>
    <row r="113" spans="1:18" x14ac:dyDescent="0.2">
      <c r="A113" s="124">
        <v>10</v>
      </c>
      <c r="B113" s="195">
        <f t="shared" si="35"/>
        <v>44835</v>
      </c>
      <c r="C113" s="216">
        <f t="shared" si="32"/>
        <v>44868</v>
      </c>
      <c r="D113" s="216">
        <f t="shared" si="32"/>
        <v>44888</v>
      </c>
      <c r="E113" s="54" t="s">
        <v>19</v>
      </c>
      <c r="F113" s="160">
        <v>9</v>
      </c>
      <c r="G113" s="197">
        <v>56</v>
      </c>
      <c r="H113" s="198">
        <f t="shared" si="25"/>
        <v>20.982460991879897</v>
      </c>
      <c r="I113" s="198">
        <f t="shared" si="34"/>
        <v>10.792264234856615</v>
      </c>
      <c r="J113" s="199">
        <f t="shared" si="36"/>
        <v>604.36679715197045</v>
      </c>
      <c r="K113" s="206">
        <f t="shared" si="30"/>
        <v>1175.0178155452743</v>
      </c>
      <c r="L113" s="205">
        <f t="shared" si="33"/>
        <v>-570.65101839330384</v>
      </c>
      <c r="M113" s="202">
        <f t="shared" si="26"/>
        <v>-31.161596047773187</v>
      </c>
      <c r="N113" s="203">
        <f t="shared" si="27"/>
        <v>-601.81261444107702</v>
      </c>
      <c r="O113" s="202">
        <v>0</v>
      </c>
      <c r="P113" s="202">
        <v>0</v>
      </c>
      <c r="Q113" s="202">
        <v>0</v>
      </c>
      <c r="R113" s="203">
        <f t="shared" si="28"/>
        <v>-601.81261444107702</v>
      </c>
    </row>
    <row r="114" spans="1:18" x14ac:dyDescent="0.2">
      <c r="A114" s="160">
        <v>11</v>
      </c>
      <c r="B114" s="195">
        <f t="shared" si="35"/>
        <v>44866</v>
      </c>
      <c r="C114" s="216">
        <f t="shared" si="32"/>
        <v>44900</v>
      </c>
      <c r="D114" s="216">
        <f t="shared" si="32"/>
        <v>44918</v>
      </c>
      <c r="E114" s="54" t="s">
        <v>19</v>
      </c>
      <c r="F114" s="160">
        <v>9</v>
      </c>
      <c r="G114" s="197">
        <v>59</v>
      </c>
      <c r="H114" s="198">
        <f t="shared" si="25"/>
        <v>20.982460991879897</v>
      </c>
      <c r="I114" s="198">
        <f t="shared" si="34"/>
        <v>10.792264234856615</v>
      </c>
      <c r="J114" s="199">
        <f t="shared" si="36"/>
        <v>636.74358985654032</v>
      </c>
      <c r="K114" s="206">
        <f t="shared" si="30"/>
        <v>1237.9651985209139</v>
      </c>
      <c r="L114" s="205">
        <f t="shared" si="33"/>
        <v>-601.22160866437355</v>
      </c>
      <c r="M114" s="202">
        <f t="shared" si="26"/>
        <v>-32.830967264618181</v>
      </c>
      <c r="N114" s="203">
        <f t="shared" si="27"/>
        <v>-634.0525759289917</v>
      </c>
      <c r="O114" s="202">
        <v>0</v>
      </c>
      <c r="P114" s="202">
        <v>0</v>
      </c>
      <c r="Q114" s="202">
        <v>0</v>
      </c>
      <c r="R114" s="203">
        <f t="shared" si="28"/>
        <v>-634.0525759289917</v>
      </c>
    </row>
    <row r="115" spans="1:18" s="220" customFormat="1" x14ac:dyDescent="0.2">
      <c r="A115" s="160">
        <v>12</v>
      </c>
      <c r="B115" s="218">
        <f t="shared" si="35"/>
        <v>44896</v>
      </c>
      <c r="C115" s="221">
        <f t="shared" si="32"/>
        <v>44930</v>
      </c>
      <c r="D115" s="221">
        <f t="shared" si="32"/>
        <v>44950</v>
      </c>
      <c r="E115" s="219" t="s">
        <v>19</v>
      </c>
      <c r="F115" s="171">
        <v>9</v>
      </c>
      <c r="G115" s="207">
        <v>58</v>
      </c>
      <c r="H115" s="208">
        <f t="shared" si="25"/>
        <v>20.982460991879897</v>
      </c>
      <c r="I115" s="208">
        <f t="shared" si="34"/>
        <v>10.792264234856615</v>
      </c>
      <c r="J115" s="209">
        <f t="shared" si="36"/>
        <v>625.95132562168374</v>
      </c>
      <c r="K115" s="210">
        <f t="shared" si="30"/>
        <v>1216.982737529034</v>
      </c>
      <c r="L115" s="211">
        <f t="shared" si="33"/>
        <v>-591.03141190735028</v>
      </c>
      <c r="M115" s="202">
        <f t="shared" si="26"/>
        <v>-32.274510192336521</v>
      </c>
      <c r="N115" s="203">
        <f t="shared" si="27"/>
        <v>-623.30592209968677</v>
      </c>
      <c r="O115" s="202">
        <v>0</v>
      </c>
      <c r="P115" s="202">
        <v>0</v>
      </c>
      <c r="Q115" s="202">
        <v>0</v>
      </c>
      <c r="R115" s="203">
        <f t="shared" si="28"/>
        <v>-623.30592209968677</v>
      </c>
    </row>
    <row r="116" spans="1:18" x14ac:dyDescent="0.2">
      <c r="A116" s="124">
        <v>1</v>
      </c>
      <c r="B116" s="195">
        <f t="shared" si="35"/>
        <v>44562</v>
      </c>
      <c r="C116" s="216">
        <f t="shared" si="32"/>
        <v>44595</v>
      </c>
      <c r="D116" s="216">
        <f t="shared" si="32"/>
        <v>44615</v>
      </c>
      <c r="E116" s="196" t="s">
        <v>13</v>
      </c>
      <c r="F116" s="124">
        <v>9</v>
      </c>
      <c r="G116" s="197">
        <v>1045</v>
      </c>
      <c r="H116" s="198">
        <f t="shared" si="25"/>
        <v>20.982460991879897</v>
      </c>
      <c r="I116" s="198">
        <f t="shared" si="34"/>
        <v>10.792264234856615</v>
      </c>
      <c r="J116" s="199">
        <f t="shared" si="36"/>
        <v>11277.916125425163</v>
      </c>
      <c r="K116" s="200">
        <f t="shared" si="30"/>
        <v>21926.671736514494</v>
      </c>
      <c r="L116" s="201">
        <f>+J116-K116</f>
        <v>-10648.755611089331</v>
      </c>
      <c r="M116" s="202">
        <f t="shared" si="26"/>
        <v>-581.49764053433898</v>
      </c>
      <c r="N116" s="203">
        <f t="shared" si="27"/>
        <v>-11230.25325162367</v>
      </c>
      <c r="O116" s="202">
        <v>0</v>
      </c>
      <c r="P116" s="202">
        <v>0</v>
      </c>
      <c r="Q116" s="202">
        <v>0</v>
      </c>
      <c r="R116" s="203">
        <f t="shared" si="28"/>
        <v>-11230.25325162367</v>
      </c>
    </row>
    <row r="117" spans="1:18" x14ac:dyDescent="0.2">
      <c r="A117" s="160">
        <v>2</v>
      </c>
      <c r="B117" s="195">
        <f t="shared" si="35"/>
        <v>44593</v>
      </c>
      <c r="C117" s="216">
        <f t="shared" ref="C117:D139" si="37">+C105</f>
        <v>44623</v>
      </c>
      <c r="D117" s="216">
        <f t="shared" si="37"/>
        <v>44642</v>
      </c>
      <c r="E117" s="204" t="s">
        <v>13</v>
      </c>
      <c r="F117" s="160">
        <v>9</v>
      </c>
      <c r="G117" s="197">
        <v>1114</v>
      </c>
      <c r="H117" s="198">
        <f t="shared" si="25"/>
        <v>20.982460991879897</v>
      </c>
      <c r="I117" s="198">
        <f t="shared" si="34"/>
        <v>10.792264234856615</v>
      </c>
      <c r="J117" s="199">
        <f t="shared" si="36"/>
        <v>12022.58235763027</v>
      </c>
      <c r="K117" s="200">
        <f t="shared" si="30"/>
        <v>23374.461544954207</v>
      </c>
      <c r="L117" s="201">
        <f>+J117-K117</f>
        <v>-11351.879187323937</v>
      </c>
      <c r="M117" s="202">
        <f t="shared" si="26"/>
        <v>-619.89317852177385</v>
      </c>
      <c r="N117" s="203">
        <f t="shared" si="27"/>
        <v>-11971.772365845711</v>
      </c>
      <c r="O117" s="202">
        <v>0</v>
      </c>
      <c r="P117" s="202">
        <v>0</v>
      </c>
      <c r="Q117" s="202">
        <v>0</v>
      </c>
      <c r="R117" s="203">
        <f t="shared" si="28"/>
        <v>-11971.772365845711</v>
      </c>
    </row>
    <row r="118" spans="1:18" x14ac:dyDescent="0.2">
      <c r="A118" s="160">
        <v>3</v>
      </c>
      <c r="B118" s="195">
        <f t="shared" si="35"/>
        <v>44621</v>
      </c>
      <c r="C118" s="216">
        <f t="shared" si="37"/>
        <v>44656</v>
      </c>
      <c r="D118" s="216">
        <f t="shared" si="37"/>
        <v>44676</v>
      </c>
      <c r="E118" s="204" t="s">
        <v>13</v>
      </c>
      <c r="F118" s="160">
        <v>9</v>
      </c>
      <c r="G118" s="197">
        <v>977</v>
      </c>
      <c r="H118" s="198">
        <f t="shared" si="25"/>
        <v>20.982460991879897</v>
      </c>
      <c r="I118" s="198">
        <f t="shared" si="34"/>
        <v>10.792264234856615</v>
      </c>
      <c r="J118" s="199">
        <f t="shared" si="36"/>
        <v>10544.042157454913</v>
      </c>
      <c r="K118" s="200">
        <f t="shared" si="30"/>
        <v>20499.864389066661</v>
      </c>
      <c r="L118" s="201">
        <f>+J118-K118</f>
        <v>-9955.8222316117481</v>
      </c>
      <c r="M118" s="202">
        <f t="shared" si="26"/>
        <v>-543.65855961918578</v>
      </c>
      <c r="N118" s="203">
        <f t="shared" si="27"/>
        <v>-10499.480791230933</v>
      </c>
      <c r="O118" s="202">
        <v>0</v>
      </c>
      <c r="P118" s="202">
        <v>0</v>
      </c>
      <c r="Q118" s="202">
        <v>0</v>
      </c>
      <c r="R118" s="203">
        <f t="shared" si="28"/>
        <v>-10499.480791230933</v>
      </c>
    </row>
    <row r="119" spans="1:18" x14ac:dyDescent="0.2">
      <c r="A119" s="124">
        <v>4</v>
      </c>
      <c r="B119" s="195">
        <f t="shared" si="35"/>
        <v>44652</v>
      </c>
      <c r="C119" s="216">
        <f t="shared" si="37"/>
        <v>44685</v>
      </c>
      <c r="D119" s="216">
        <f t="shared" si="37"/>
        <v>44705</v>
      </c>
      <c r="E119" s="54" t="s">
        <v>13</v>
      </c>
      <c r="F119" s="160">
        <v>9</v>
      </c>
      <c r="G119" s="197">
        <v>539</v>
      </c>
      <c r="H119" s="198">
        <f t="shared" si="25"/>
        <v>20.982460991879897</v>
      </c>
      <c r="I119" s="198">
        <f t="shared" si="34"/>
        <v>10.792264234856615</v>
      </c>
      <c r="J119" s="199">
        <f t="shared" si="36"/>
        <v>5817.0304225877153</v>
      </c>
      <c r="K119" s="200">
        <f t="shared" si="30"/>
        <v>11309.546474623265</v>
      </c>
      <c r="L119" s="201">
        <f t="shared" ref="L119:L127" si="38">+J119-K119</f>
        <v>-5492.5160520355494</v>
      </c>
      <c r="M119" s="202">
        <f t="shared" si="26"/>
        <v>-299.93036195981693</v>
      </c>
      <c r="N119" s="203">
        <f t="shared" si="27"/>
        <v>-5792.4464139953661</v>
      </c>
      <c r="O119" s="202">
        <v>0</v>
      </c>
      <c r="P119" s="202">
        <v>0</v>
      </c>
      <c r="Q119" s="202">
        <v>0</v>
      </c>
      <c r="R119" s="203">
        <f t="shared" si="28"/>
        <v>-5792.4464139953661</v>
      </c>
    </row>
    <row r="120" spans="1:18" x14ac:dyDescent="0.2">
      <c r="A120" s="160">
        <v>5</v>
      </c>
      <c r="B120" s="195">
        <f t="shared" si="35"/>
        <v>44682</v>
      </c>
      <c r="C120" s="216">
        <f t="shared" si="37"/>
        <v>44715</v>
      </c>
      <c r="D120" s="216">
        <f t="shared" si="37"/>
        <v>44735</v>
      </c>
      <c r="E120" s="54" t="s">
        <v>13</v>
      </c>
      <c r="F120" s="160">
        <v>9</v>
      </c>
      <c r="G120" s="197">
        <v>754</v>
      </c>
      <c r="H120" s="198">
        <f t="shared" si="25"/>
        <v>20.982460991879897</v>
      </c>
      <c r="I120" s="198">
        <f t="shared" si="34"/>
        <v>10.792264234856615</v>
      </c>
      <c r="J120" s="199">
        <f t="shared" si="36"/>
        <v>8137.3672330818881</v>
      </c>
      <c r="K120" s="200">
        <f t="shared" si="30"/>
        <v>15820.775587877442</v>
      </c>
      <c r="L120" s="201">
        <f t="shared" si="38"/>
        <v>-7683.4083547955543</v>
      </c>
      <c r="M120" s="202">
        <f t="shared" si="26"/>
        <v>-419.56863250037475</v>
      </c>
      <c r="N120" s="203">
        <f t="shared" si="27"/>
        <v>-8102.9769872959287</v>
      </c>
      <c r="O120" s="202">
        <v>0</v>
      </c>
      <c r="P120" s="202">
        <v>0</v>
      </c>
      <c r="Q120" s="202">
        <v>0</v>
      </c>
      <c r="R120" s="203">
        <f t="shared" si="28"/>
        <v>-8102.9769872959287</v>
      </c>
    </row>
    <row r="121" spans="1:18" x14ac:dyDescent="0.2">
      <c r="A121" s="160">
        <v>6</v>
      </c>
      <c r="B121" s="195">
        <f t="shared" si="35"/>
        <v>44713</v>
      </c>
      <c r="C121" s="216">
        <f t="shared" si="37"/>
        <v>44747</v>
      </c>
      <c r="D121" s="216">
        <f t="shared" si="37"/>
        <v>44767</v>
      </c>
      <c r="E121" s="54" t="s">
        <v>13</v>
      </c>
      <c r="F121" s="160">
        <v>9</v>
      </c>
      <c r="G121" s="197">
        <v>946</v>
      </c>
      <c r="H121" s="198">
        <f t="shared" si="25"/>
        <v>20.982460991879897</v>
      </c>
      <c r="I121" s="198">
        <f t="shared" si="34"/>
        <v>10.792264234856615</v>
      </c>
      <c r="J121" s="199">
        <f t="shared" si="36"/>
        <v>10209.481966174359</v>
      </c>
      <c r="K121" s="200">
        <f t="shared" si="30"/>
        <v>19849.408098318381</v>
      </c>
      <c r="L121" s="205">
        <f t="shared" si="38"/>
        <v>-9639.9261321440226</v>
      </c>
      <c r="M121" s="202">
        <f t="shared" si="26"/>
        <v>-526.40839037845421</v>
      </c>
      <c r="N121" s="203">
        <f t="shared" si="27"/>
        <v>-10166.334522522477</v>
      </c>
      <c r="O121" s="202">
        <v>0</v>
      </c>
      <c r="P121" s="202">
        <v>0</v>
      </c>
      <c r="Q121" s="202">
        <v>0</v>
      </c>
      <c r="R121" s="203">
        <f t="shared" si="28"/>
        <v>-10166.334522522477</v>
      </c>
    </row>
    <row r="122" spans="1:18" x14ac:dyDescent="0.2">
      <c r="A122" s="124">
        <v>7</v>
      </c>
      <c r="B122" s="195">
        <f t="shared" si="35"/>
        <v>44743</v>
      </c>
      <c r="C122" s="216">
        <f t="shared" si="37"/>
        <v>44776</v>
      </c>
      <c r="D122" s="216">
        <f t="shared" si="37"/>
        <v>44796</v>
      </c>
      <c r="E122" s="54" t="s">
        <v>13</v>
      </c>
      <c r="F122" s="160">
        <v>9</v>
      </c>
      <c r="G122" s="197">
        <v>979</v>
      </c>
      <c r="H122" s="198">
        <f t="shared" si="25"/>
        <v>20.982460991879897</v>
      </c>
      <c r="I122" s="198">
        <f t="shared" si="34"/>
        <v>10.792264234856615</v>
      </c>
      <c r="J122" s="199">
        <f t="shared" si="36"/>
        <v>10565.626685924626</v>
      </c>
      <c r="K122" s="206">
        <f t="shared" si="30"/>
        <v>20541.82931105042</v>
      </c>
      <c r="L122" s="205">
        <f t="shared" si="38"/>
        <v>-9976.2026251257939</v>
      </c>
      <c r="M122" s="202">
        <f t="shared" si="26"/>
        <v>-544.7714737637491</v>
      </c>
      <c r="N122" s="203">
        <f t="shared" si="27"/>
        <v>-10520.974098889543</v>
      </c>
      <c r="O122" s="202">
        <v>0</v>
      </c>
      <c r="P122" s="202">
        <v>0</v>
      </c>
      <c r="Q122" s="202">
        <v>0</v>
      </c>
      <c r="R122" s="203">
        <f t="shared" si="28"/>
        <v>-10520.974098889543</v>
      </c>
    </row>
    <row r="123" spans="1:18" x14ac:dyDescent="0.2">
      <c r="A123" s="160">
        <v>8</v>
      </c>
      <c r="B123" s="195">
        <f t="shared" si="35"/>
        <v>44774</v>
      </c>
      <c r="C123" s="216">
        <f t="shared" si="37"/>
        <v>44809</v>
      </c>
      <c r="D123" s="216">
        <f t="shared" si="37"/>
        <v>44827</v>
      </c>
      <c r="E123" s="54" t="s">
        <v>13</v>
      </c>
      <c r="F123" s="160">
        <v>9</v>
      </c>
      <c r="G123" s="197">
        <v>973</v>
      </c>
      <c r="H123" s="198">
        <f t="shared" si="25"/>
        <v>20.982460991879897</v>
      </c>
      <c r="I123" s="198">
        <f t="shared" si="34"/>
        <v>10.792264234856615</v>
      </c>
      <c r="J123" s="199">
        <f t="shared" si="36"/>
        <v>10500.873100515486</v>
      </c>
      <c r="K123" s="206">
        <f t="shared" si="30"/>
        <v>20415.934545099139</v>
      </c>
      <c r="L123" s="205">
        <f t="shared" si="38"/>
        <v>-9915.0614445836527</v>
      </c>
      <c r="M123" s="202">
        <f t="shared" si="26"/>
        <v>-541.43273133005914</v>
      </c>
      <c r="N123" s="203">
        <f t="shared" si="27"/>
        <v>-10456.494175913711</v>
      </c>
      <c r="O123" s="202">
        <v>0</v>
      </c>
      <c r="P123" s="202">
        <v>0</v>
      </c>
      <c r="Q123" s="202">
        <v>0</v>
      </c>
      <c r="R123" s="203">
        <f t="shared" si="28"/>
        <v>-10456.494175913711</v>
      </c>
    </row>
    <row r="124" spans="1:18" x14ac:dyDescent="0.2">
      <c r="A124" s="160">
        <v>9</v>
      </c>
      <c r="B124" s="195">
        <f t="shared" si="35"/>
        <v>44805</v>
      </c>
      <c r="C124" s="216">
        <f t="shared" si="37"/>
        <v>44839</v>
      </c>
      <c r="D124" s="216">
        <f t="shared" si="37"/>
        <v>44859</v>
      </c>
      <c r="E124" s="54" t="s">
        <v>13</v>
      </c>
      <c r="F124" s="160">
        <v>9</v>
      </c>
      <c r="G124" s="197">
        <v>847</v>
      </c>
      <c r="H124" s="198">
        <f t="shared" si="25"/>
        <v>20.982460991879897</v>
      </c>
      <c r="I124" s="198">
        <f t="shared" si="34"/>
        <v>10.792264234856615</v>
      </c>
      <c r="J124" s="199">
        <f t="shared" si="36"/>
        <v>9141.0478069235523</v>
      </c>
      <c r="K124" s="206">
        <f t="shared" si="30"/>
        <v>17772.144460122272</v>
      </c>
      <c r="L124" s="205">
        <f t="shared" si="38"/>
        <v>-8631.0966531987197</v>
      </c>
      <c r="M124" s="202">
        <f t="shared" si="26"/>
        <v>-471.3191402225695</v>
      </c>
      <c r="N124" s="203">
        <f t="shared" si="27"/>
        <v>-9102.415793421289</v>
      </c>
      <c r="O124" s="202">
        <v>0</v>
      </c>
      <c r="P124" s="202">
        <v>0</v>
      </c>
      <c r="Q124" s="202">
        <v>0</v>
      </c>
      <c r="R124" s="203">
        <f t="shared" si="28"/>
        <v>-9102.415793421289</v>
      </c>
    </row>
    <row r="125" spans="1:18" x14ac:dyDescent="0.2">
      <c r="A125" s="124">
        <v>10</v>
      </c>
      <c r="B125" s="195">
        <f t="shared" si="35"/>
        <v>44835</v>
      </c>
      <c r="C125" s="216">
        <f t="shared" si="37"/>
        <v>44868</v>
      </c>
      <c r="D125" s="216">
        <f t="shared" si="37"/>
        <v>44888</v>
      </c>
      <c r="E125" s="54" t="s">
        <v>13</v>
      </c>
      <c r="F125" s="160">
        <v>9</v>
      </c>
      <c r="G125" s="197">
        <v>609</v>
      </c>
      <c r="H125" s="198">
        <f t="shared" si="25"/>
        <v>20.982460991879897</v>
      </c>
      <c r="I125" s="198">
        <f t="shared" si="34"/>
        <v>10.792264234856615</v>
      </c>
      <c r="J125" s="199">
        <f t="shared" si="36"/>
        <v>6572.488919027679</v>
      </c>
      <c r="K125" s="206">
        <f t="shared" si="30"/>
        <v>12778.318744054857</v>
      </c>
      <c r="L125" s="205">
        <f t="shared" si="38"/>
        <v>-6205.8298250271782</v>
      </c>
      <c r="M125" s="202">
        <f t="shared" si="26"/>
        <v>-338.88235701953346</v>
      </c>
      <c r="N125" s="203">
        <f t="shared" si="27"/>
        <v>-6544.7121820467119</v>
      </c>
      <c r="O125" s="202">
        <v>0</v>
      </c>
      <c r="P125" s="202">
        <v>0</v>
      </c>
      <c r="Q125" s="202">
        <v>0</v>
      </c>
      <c r="R125" s="203">
        <f t="shared" si="28"/>
        <v>-6544.7121820467119</v>
      </c>
    </row>
    <row r="126" spans="1:18" x14ac:dyDescent="0.2">
      <c r="A126" s="160">
        <v>11</v>
      </c>
      <c r="B126" s="195">
        <f t="shared" si="35"/>
        <v>44866</v>
      </c>
      <c r="C126" s="216">
        <f t="shared" si="37"/>
        <v>44900</v>
      </c>
      <c r="D126" s="216">
        <f t="shared" si="37"/>
        <v>44918</v>
      </c>
      <c r="E126" s="54" t="s">
        <v>13</v>
      </c>
      <c r="F126" s="160">
        <v>9</v>
      </c>
      <c r="G126" s="197">
        <v>807</v>
      </c>
      <c r="H126" s="198">
        <f t="shared" si="25"/>
        <v>20.982460991879897</v>
      </c>
      <c r="I126" s="198">
        <f t="shared" si="34"/>
        <v>10.792264234856615</v>
      </c>
      <c r="J126" s="199">
        <f t="shared" si="36"/>
        <v>8709.3572375292879</v>
      </c>
      <c r="K126" s="206">
        <f t="shared" si="30"/>
        <v>16932.846020447076</v>
      </c>
      <c r="L126" s="205">
        <f t="shared" si="38"/>
        <v>-8223.4887829177878</v>
      </c>
      <c r="M126" s="202">
        <f t="shared" si="26"/>
        <v>-449.06085733130294</v>
      </c>
      <c r="N126" s="203">
        <f t="shared" si="27"/>
        <v>-8672.5496402490899</v>
      </c>
      <c r="O126" s="202">
        <v>0</v>
      </c>
      <c r="P126" s="202">
        <v>0</v>
      </c>
      <c r="Q126" s="202">
        <v>0</v>
      </c>
      <c r="R126" s="203">
        <f t="shared" si="28"/>
        <v>-8672.5496402490899</v>
      </c>
    </row>
    <row r="127" spans="1:18" s="220" customFormat="1" x14ac:dyDescent="0.2">
      <c r="A127" s="160">
        <v>12</v>
      </c>
      <c r="B127" s="218">
        <f t="shared" si="35"/>
        <v>44896</v>
      </c>
      <c r="C127" s="221">
        <f t="shared" si="37"/>
        <v>44930</v>
      </c>
      <c r="D127" s="221">
        <f t="shared" si="37"/>
        <v>44950</v>
      </c>
      <c r="E127" s="219" t="s">
        <v>13</v>
      </c>
      <c r="F127" s="171">
        <v>9</v>
      </c>
      <c r="G127" s="207">
        <v>1434</v>
      </c>
      <c r="H127" s="208">
        <f t="shared" si="25"/>
        <v>20.982460991879897</v>
      </c>
      <c r="I127" s="208">
        <f t="shared" si="34"/>
        <v>10.792264234856615</v>
      </c>
      <c r="J127" s="209">
        <f t="shared" si="36"/>
        <v>15476.106912784386</v>
      </c>
      <c r="K127" s="210">
        <f t="shared" si="30"/>
        <v>30088.849062355774</v>
      </c>
      <c r="L127" s="211">
        <f t="shared" si="38"/>
        <v>-14612.742149571388</v>
      </c>
      <c r="M127" s="202">
        <f t="shared" si="26"/>
        <v>-797.95944165190622</v>
      </c>
      <c r="N127" s="203">
        <f t="shared" si="27"/>
        <v>-15410.701591223295</v>
      </c>
      <c r="O127" s="202">
        <v>0</v>
      </c>
      <c r="P127" s="202">
        <v>0</v>
      </c>
      <c r="Q127" s="202">
        <v>0</v>
      </c>
      <c r="R127" s="203">
        <f t="shared" si="28"/>
        <v>-15410.701591223295</v>
      </c>
    </row>
    <row r="128" spans="1:18" x14ac:dyDescent="0.2">
      <c r="A128" s="124">
        <v>1</v>
      </c>
      <c r="B128" s="195">
        <f t="shared" si="35"/>
        <v>44562</v>
      </c>
      <c r="C128" s="216">
        <f t="shared" si="37"/>
        <v>44595</v>
      </c>
      <c r="D128" s="216">
        <f t="shared" si="37"/>
        <v>44615</v>
      </c>
      <c r="E128" s="196" t="s">
        <v>15</v>
      </c>
      <c r="F128" s="124">
        <v>9</v>
      </c>
      <c r="G128" s="197">
        <v>8</v>
      </c>
      <c r="H128" s="198">
        <f t="shared" si="25"/>
        <v>20.982460991879897</v>
      </c>
      <c r="I128" s="198">
        <f t="shared" ref="I128:I147" si="39">$J$3</f>
        <v>10.792264234856615</v>
      </c>
      <c r="J128" s="199">
        <f t="shared" si="36"/>
        <v>86.338113878852923</v>
      </c>
      <c r="K128" s="200">
        <f t="shared" si="30"/>
        <v>167.85968793503918</v>
      </c>
      <c r="L128" s="201">
        <f>+J128-K128</f>
        <v>-81.521574056186253</v>
      </c>
      <c r="M128" s="202">
        <f t="shared" si="26"/>
        <v>-4.4516565782533135</v>
      </c>
      <c r="N128" s="203">
        <f t="shared" si="27"/>
        <v>-85.973230634439574</v>
      </c>
      <c r="O128" s="202">
        <v>0</v>
      </c>
      <c r="P128" s="202">
        <v>0</v>
      </c>
      <c r="Q128" s="202">
        <v>0</v>
      </c>
      <c r="R128" s="203">
        <f t="shared" si="28"/>
        <v>-85.973230634439574</v>
      </c>
    </row>
    <row r="129" spans="1:18" x14ac:dyDescent="0.2">
      <c r="A129" s="160">
        <v>2</v>
      </c>
      <c r="B129" s="195">
        <f t="shared" si="35"/>
        <v>44593</v>
      </c>
      <c r="C129" s="216">
        <f t="shared" si="37"/>
        <v>44623</v>
      </c>
      <c r="D129" s="216">
        <f t="shared" si="37"/>
        <v>44642</v>
      </c>
      <c r="E129" s="204" t="s">
        <v>15</v>
      </c>
      <c r="F129" s="160">
        <v>9</v>
      </c>
      <c r="G129" s="197">
        <v>7</v>
      </c>
      <c r="H129" s="198">
        <f t="shared" si="25"/>
        <v>20.982460991879897</v>
      </c>
      <c r="I129" s="198">
        <f t="shared" si="39"/>
        <v>10.792264234856615</v>
      </c>
      <c r="J129" s="199">
        <f t="shared" si="36"/>
        <v>75.545849643996306</v>
      </c>
      <c r="K129" s="200">
        <f t="shared" si="30"/>
        <v>146.87722694315929</v>
      </c>
      <c r="L129" s="201">
        <f>+J129-K129</f>
        <v>-71.33137729916298</v>
      </c>
      <c r="M129" s="202">
        <f t="shared" si="26"/>
        <v>-3.8951995059716484</v>
      </c>
      <c r="N129" s="203">
        <f t="shared" si="27"/>
        <v>-75.226576805134627</v>
      </c>
      <c r="O129" s="202">
        <v>0</v>
      </c>
      <c r="P129" s="202">
        <v>0</v>
      </c>
      <c r="Q129" s="202">
        <v>0</v>
      </c>
      <c r="R129" s="203">
        <f t="shared" si="28"/>
        <v>-75.226576805134627</v>
      </c>
    </row>
    <row r="130" spans="1:18" x14ac:dyDescent="0.2">
      <c r="A130" s="160">
        <v>3</v>
      </c>
      <c r="B130" s="195">
        <f t="shared" si="35"/>
        <v>44621</v>
      </c>
      <c r="C130" s="216">
        <f t="shared" si="37"/>
        <v>44656</v>
      </c>
      <c r="D130" s="216">
        <f t="shared" si="37"/>
        <v>44676</v>
      </c>
      <c r="E130" s="204" t="s">
        <v>15</v>
      </c>
      <c r="F130" s="160">
        <v>9</v>
      </c>
      <c r="G130" s="197">
        <v>5</v>
      </c>
      <c r="H130" s="198">
        <f t="shared" si="25"/>
        <v>20.982460991879897</v>
      </c>
      <c r="I130" s="198">
        <f t="shared" si="39"/>
        <v>10.792264234856615</v>
      </c>
      <c r="J130" s="199">
        <f t="shared" si="36"/>
        <v>53.961321174283079</v>
      </c>
      <c r="K130" s="200">
        <f t="shared" si="30"/>
        <v>104.91230495939948</v>
      </c>
      <c r="L130" s="201">
        <f>+J130-K130</f>
        <v>-50.950983785116399</v>
      </c>
      <c r="M130" s="202">
        <f t="shared" si="26"/>
        <v>-2.7822853614083205</v>
      </c>
      <c r="N130" s="203">
        <f t="shared" si="27"/>
        <v>-53.733269146524719</v>
      </c>
      <c r="O130" s="202">
        <v>0</v>
      </c>
      <c r="P130" s="202">
        <v>0</v>
      </c>
      <c r="Q130" s="202">
        <v>0</v>
      </c>
      <c r="R130" s="203">
        <f t="shared" si="28"/>
        <v>-53.733269146524719</v>
      </c>
    </row>
    <row r="131" spans="1:18" x14ac:dyDescent="0.2">
      <c r="A131" s="124">
        <v>4</v>
      </c>
      <c r="B131" s="195">
        <f t="shared" si="35"/>
        <v>44652</v>
      </c>
      <c r="C131" s="216">
        <f t="shared" si="37"/>
        <v>44685</v>
      </c>
      <c r="D131" s="216">
        <f t="shared" si="37"/>
        <v>44705</v>
      </c>
      <c r="E131" s="204" t="s">
        <v>15</v>
      </c>
      <c r="F131" s="160">
        <v>9</v>
      </c>
      <c r="G131" s="197">
        <v>7</v>
      </c>
      <c r="H131" s="198">
        <f t="shared" si="25"/>
        <v>20.982460991879897</v>
      </c>
      <c r="I131" s="198">
        <f t="shared" si="39"/>
        <v>10.792264234856615</v>
      </c>
      <c r="J131" s="199">
        <f t="shared" si="36"/>
        <v>75.545849643996306</v>
      </c>
      <c r="K131" s="200">
        <f t="shared" si="30"/>
        <v>146.87722694315929</v>
      </c>
      <c r="L131" s="201">
        <f t="shared" ref="L131:L141" si="40">+J131-K131</f>
        <v>-71.33137729916298</v>
      </c>
      <c r="M131" s="202">
        <f t="shared" si="26"/>
        <v>-3.8951995059716484</v>
      </c>
      <c r="N131" s="203">
        <f t="shared" si="27"/>
        <v>-75.226576805134627</v>
      </c>
      <c r="O131" s="202">
        <v>0</v>
      </c>
      <c r="P131" s="202">
        <v>0</v>
      </c>
      <c r="Q131" s="202">
        <v>0</v>
      </c>
      <c r="R131" s="203">
        <f t="shared" si="28"/>
        <v>-75.226576805134627</v>
      </c>
    </row>
    <row r="132" spans="1:18" x14ac:dyDescent="0.2">
      <c r="A132" s="160">
        <v>5</v>
      </c>
      <c r="B132" s="195">
        <f t="shared" si="35"/>
        <v>44682</v>
      </c>
      <c r="C132" s="216">
        <f t="shared" si="37"/>
        <v>44715</v>
      </c>
      <c r="D132" s="216">
        <f t="shared" si="37"/>
        <v>44735</v>
      </c>
      <c r="E132" s="54" t="s">
        <v>15</v>
      </c>
      <c r="F132" s="160">
        <v>9</v>
      </c>
      <c r="G132" s="197">
        <v>10</v>
      </c>
      <c r="H132" s="198">
        <f t="shared" si="25"/>
        <v>20.982460991879897</v>
      </c>
      <c r="I132" s="198">
        <f t="shared" si="39"/>
        <v>10.792264234856615</v>
      </c>
      <c r="J132" s="199">
        <f t="shared" si="36"/>
        <v>107.92264234856616</v>
      </c>
      <c r="K132" s="200">
        <f t="shared" si="30"/>
        <v>209.82460991879896</v>
      </c>
      <c r="L132" s="201">
        <f t="shared" si="40"/>
        <v>-101.9019675702328</v>
      </c>
      <c r="M132" s="202">
        <f t="shared" si="26"/>
        <v>-5.564570722816641</v>
      </c>
      <c r="N132" s="203">
        <f t="shared" si="27"/>
        <v>-107.46653829304944</v>
      </c>
      <c r="O132" s="202">
        <v>0</v>
      </c>
      <c r="P132" s="202">
        <v>0</v>
      </c>
      <c r="Q132" s="202">
        <v>0</v>
      </c>
      <c r="R132" s="203">
        <f t="shared" si="28"/>
        <v>-107.46653829304944</v>
      </c>
    </row>
    <row r="133" spans="1:18" x14ac:dyDescent="0.2">
      <c r="A133" s="160">
        <v>6</v>
      </c>
      <c r="B133" s="195">
        <f t="shared" si="35"/>
        <v>44713</v>
      </c>
      <c r="C133" s="216">
        <f t="shared" si="37"/>
        <v>44747</v>
      </c>
      <c r="D133" s="216">
        <f t="shared" si="37"/>
        <v>44767</v>
      </c>
      <c r="E133" s="54" t="s">
        <v>15</v>
      </c>
      <c r="F133" s="160">
        <v>9</v>
      </c>
      <c r="G133" s="197">
        <v>14</v>
      </c>
      <c r="H133" s="198">
        <f t="shared" si="25"/>
        <v>20.982460991879897</v>
      </c>
      <c r="I133" s="198">
        <f t="shared" si="39"/>
        <v>10.792264234856615</v>
      </c>
      <c r="J133" s="199">
        <f t="shared" si="36"/>
        <v>151.09169928799261</v>
      </c>
      <c r="K133" s="200">
        <f t="shared" si="30"/>
        <v>293.75445388631857</v>
      </c>
      <c r="L133" s="205">
        <f t="shared" si="40"/>
        <v>-142.66275459832596</v>
      </c>
      <c r="M133" s="202">
        <f t="shared" si="26"/>
        <v>-7.7903990119432969</v>
      </c>
      <c r="N133" s="203">
        <f t="shared" si="27"/>
        <v>-150.45315361026925</v>
      </c>
      <c r="O133" s="202">
        <v>0</v>
      </c>
      <c r="P133" s="202">
        <v>0</v>
      </c>
      <c r="Q133" s="202">
        <v>0</v>
      </c>
      <c r="R133" s="203">
        <f t="shared" si="28"/>
        <v>-150.45315361026925</v>
      </c>
    </row>
    <row r="134" spans="1:18" x14ac:dyDescent="0.2">
      <c r="A134" s="124">
        <v>7</v>
      </c>
      <c r="B134" s="195">
        <f t="shared" si="35"/>
        <v>44743</v>
      </c>
      <c r="C134" s="216">
        <f t="shared" si="37"/>
        <v>44776</v>
      </c>
      <c r="D134" s="216">
        <f t="shared" si="37"/>
        <v>44796</v>
      </c>
      <c r="E134" s="54" t="s">
        <v>15</v>
      </c>
      <c r="F134" s="160">
        <v>9</v>
      </c>
      <c r="G134" s="197">
        <v>18</v>
      </c>
      <c r="H134" s="198">
        <f t="shared" si="25"/>
        <v>20.982460991879897</v>
      </c>
      <c r="I134" s="198">
        <f t="shared" si="39"/>
        <v>10.792264234856615</v>
      </c>
      <c r="J134" s="199">
        <f t="shared" si="36"/>
        <v>194.26075622741908</v>
      </c>
      <c r="K134" s="206">
        <f t="shared" ref="K134:K197" si="41">+$G134*H134</f>
        <v>377.68429785383813</v>
      </c>
      <c r="L134" s="205">
        <f t="shared" si="40"/>
        <v>-183.42354162641905</v>
      </c>
      <c r="M134" s="202">
        <f t="shared" si="26"/>
        <v>-10.016227301069954</v>
      </c>
      <c r="N134" s="203">
        <f t="shared" si="27"/>
        <v>-193.43976892748901</v>
      </c>
      <c r="O134" s="202">
        <v>0</v>
      </c>
      <c r="P134" s="202">
        <v>0</v>
      </c>
      <c r="Q134" s="202">
        <v>0</v>
      </c>
      <c r="R134" s="203">
        <f t="shared" si="28"/>
        <v>-193.43976892748901</v>
      </c>
    </row>
    <row r="135" spans="1:18" x14ac:dyDescent="0.2">
      <c r="A135" s="160">
        <v>8</v>
      </c>
      <c r="B135" s="195">
        <f t="shared" si="35"/>
        <v>44774</v>
      </c>
      <c r="C135" s="216">
        <f t="shared" si="37"/>
        <v>44809</v>
      </c>
      <c r="D135" s="216">
        <f t="shared" si="37"/>
        <v>44827</v>
      </c>
      <c r="E135" s="54" t="s">
        <v>15</v>
      </c>
      <c r="F135" s="160">
        <v>9</v>
      </c>
      <c r="G135" s="197">
        <v>16</v>
      </c>
      <c r="H135" s="198">
        <f t="shared" si="25"/>
        <v>20.982460991879897</v>
      </c>
      <c r="I135" s="198">
        <f t="shared" si="39"/>
        <v>10.792264234856615</v>
      </c>
      <c r="J135" s="199">
        <f t="shared" si="36"/>
        <v>172.67622775770585</v>
      </c>
      <c r="K135" s="206">
        <f t="shared" si="41"/>
        <v>335.71937587007835</v>
      </c>
      <c r="L135" s="205">
        <f t="shared" si="40"/>
        <v>-163.04314811237251</v>
      </c>
      <c r="M135" s="202">
        <f t="shared" si="26"/>
        <v>-8.903313156506627</v>
      </c>
      <c r="N135" s="203">
        <f t="shared" si="27"/>
        <v>-171.94646126887915</v>
      </c>
      <c r="O135" s="202">
        <v>0</v>
      </c>
      <c r="P135" s="202">
        <v>0</v>
      </c>
      <c r="Q135" s="202">
        <v>0</v>
      </c>
      <c r="R135" s="203">
        <f t="shared" si="28"/>
        <v>-171.94646126887915</v>
      </c>
    </row>
    <row r="136" spans="1:18" x14ac:dyDescent="0.2">
      <c r="A136" s="160">
        <v>9</v>
      </c>
      <c r="B136" s="195">
        <f t="shared" si="35"/>
        <v>44805</v>
      </c>
      <c r="C136" s="216">
        <f t="shared" si="37"/>
        <v>44839</v>
      </c>
      <c r="D136" s="216">
        <f t="shared" si="37"/>
        <v>44859</v>
      </c>
      <c r="E136" s="54" t="s">
        <v>15</v>
      </c>
      <c r="F136" s="160">
        <v>9</v>
      </c>
      <c r="G136" s="197">
        <v>9</v>
      </c>
      <c r="H136" s="198">
        <f t="shared" si="25"/>
        <v>20.982460991879897</v>
      </c>
      <c r="I136" s="198">
        <f t="shared" si="39"/>
        <v>10.792264234856615</v>
      </c>
      <c r="J136" s="199">
        <f t="shared" si="36"/>
        <v>97.13037811370954</v>
      </c>
      <c r="K136" s="206">
        <f t="shared" si="41"/>
        <v>188.84214892691907</v>
      </c>
      <c r="L136" s="205">
        <f t="shared" si="40"/>
        <v>-91.711770813209526</v>
      </c>
      <c r="M136" s="202">
        <f t="shared" si="26"/>
        <v>-5.0081136505349768</v>
      </c>
      <c r="N136" s="203">
        <f t="shared" si="27"/>
        <v>-96.719884463744506</v>
      </c>
      <c r="O136" s="202">
        <v>0</v>
      </c>
      <c r="P136" s="202">
        <v>0</v>
      </c>
      <c r="Q136" s="202">
        <v>0</v>
      </c>
      <c r="R136" s="203">
        <f t="shared" si="28"/>
        <v>-96.719884463744506</v>
      </c>
    </row>
    <row r="137" spans="1:18" x14ac:dyDescent="0.2">
      <c r="A137" s="124">
        <v>10</v>
      </c>
      <c r="B137" s="195">
        <f t="shared" si="35"/>
        <v>44835</v>
      </c>
      <c r="C137" s="216">
        <f t="shared" si="37"/>
        <v>44868</v>
      </c>
      <c r="D137" s="216">
        <f t="shared" si="37"/>
        <v>44888</v>
      </c>
      <c r="E137" s="54" t="s">
        <v>15</v>
      </c>
      <c r="F137" s="160">
        <v>9</v>
      </c>
      <c r="G137" s="197">
        <v>6</v>
      </c>
      <c r="H137" s="198">
        <f t="shared" si="25"/>
        <v>20.982460991879897</v>
      </c>
      <c r="I137" s="198">
        <f t="shared" si="39"/>
        <v>10.792264234856615</v>
      </c>
      <c r="J137" s="199">
        <f t="shared" si="36"/>
        <v>64.753585409139689</v>
      </c>
      <c r="K137" s="206">
        <f t="shared" si="41"/>
        <v>125.89476595127938</v>
      </c>
      <c r="L137" s="205">
        <f t="shared" si="40"/>
        <v>-61.141180542139693</v>
      </c>
      <c r="M137" s="202">
        <f t="shared" si="26"/>
        <v>-3.3387424336899842</v>
      </c>
      <c r="N137" s="203">
        <f t="shared" si="27"/>
        <v>-64.47992297582968</v>
      </c>
      <c r="O137" s="202">
        <v>0</v>
      </c>
      <c r="P137" s="202">
        <v>0</v>
      </c>
      <c r="Q137" s="202">
        <v>0</v>
      </c>
      <c r="R137" s="203">
        <f t="shared" si="28"/>
        <v>-64.47992297582968</v>
      </c>
    </row>
    <row r="138" spans="1:18" x14ac:dyDescent="0.2">
      <c r="A138" s="160">
        <v>11</v>
      </c>
      <c r="B138" s="195">
        <f t="shared" si="35"/>
        <v>44866</v>
      </c>
      <c r="C138" s="216">
        <f t="shared" si="37"/>
        <v>44900</v>
      </c>
      <c r="D138" s="216">
        <f t="shared" si="37"/>
        <v>44918</v>
      </c>
      <c r="E138" s="54" t="s">
        <v>15</v>
      </c>
      <c r="F138" s="160">
        <v>9</v>
      </c>
      <c r="G138" s="197">
        <v>6</v>
      </c>
      <c r="H138" s="198">
        <f t="shared" si="25"/>
        <v>20.982460991879897</v>
      </c>
      <c r="I138" s="198">
        <f t="shared" si="39"/>
        <v>10.792264234856615</v>
      </c>
      <c r="J138" s="199">
        <f t="shared" si="36"/>
        <v>64.753585409139689</v>
      </c>
      <c r="K138" s="206">
        <f t="shared" si="41"/>
        <v>125.89476595127938</v>
      </c>
      <c r="L138" s="205">
        <f t="shared" si="40"/>
        <v>-61.141180542139693</v>
      </c>
      <c r="M138" s="202">
        <f t="shared" si="26"/>
        <v>-3.3387424336899842</v>
      </c>
      <c r="N138" s="203">
        <f t="shared" si="27"/>
        <v>-64.47992297582968</v>
      </c>
      <c r="O138" s="202">
        <v>0</v>
      </c>
      <c r="P138" s="202">
        <v>0</v>
      </c>
      <c r="Q138" s="202">
        <v>0</v>
      </c>
      <c r="R138" s="203">
        <f t="shared" si="28"/>
        <v>-64.47992297582968</v>
      </c>
    </row>
    <row r="139" spans="1:18" s="220" customFormat="1" x14ac:dyDescent="0.2">
      <c r="A139" s="160">
        <v>12</v>
      </c>
      <c r="B139" s="218">
        <f t="shared" si="35"/>
        <v>44896</v>
      </c>
      <c r="C139" s="216">
        <f t="shared" si="37"/>
        <v>44930</v>
      </c>
      <c r="D139" s="216">
        <f t="shared" si="37"/>
        <v>44950</v>
      </c>
      <c r="E139" s="219" t="s">
        <v>15</v>
      </c>
      <c r="F139" s="171">
        <v>9</v>
      </c>
      <c r="G139" s="207">
        <v>8</v>
      </c>
      <c r="H139" s="208">
        <f t="shared" si="25"/>
        <v>20.982460991879897</v>
      </c>
      <c r="I139" s="208">
        <f t="shared" si="39"/>
        <v>10.792264234856615</v>
      </c>
      <c r="J139" s="209">
        <f t="shared" si="36"/>
        <v>86.338113878852923</v>
      </c>
      <c r="K139" s="210">
        <f t="shared" si="41"/>
        <v>167.85968793503918</v>
      </c>
      <c r="L139" s="211">
        <f t="shared" si="40"/>
        <v>-81.521574056186253</v>
      </c>
      <c r="M139" s="202">
        <f t="shared" si="26"/>
        <v>-4.4516565782533135</v>
      </c>
      <c r="N139" s="203">
        <f t="shared" si="27"/>
        <v>-85.973230634439574</v>
      </c>
      <c r="O139" s="202">
        <v>0</v>
      </c>
      <c r="P139" s="202">
        <v>0</v>
      </c>
      <c r="Q139" s="202">
        <v>0</v>
      </c>
      <c r="R139" s="203">
        <f t="shared" si="28"/>
        <v>-85.973230634439574</v>
      </c>
    </row>
    <row r="140" spans="1:18" x14ac:dyDescent="0.2">
      <c r="A140" s="124">
        <v>1</v>
      </c>
      <c r="B140" s="195">
        <f t="shared" si="35"/>
        <v>44562</v>
      </c>
      <c r="C140" s="213">
        <f t="shared" ref="C140:D151" si="42">+C128</f>
        <v>44595</v>
      </c>
      <c r="D140" s="213">
        <f t="shared" si="42"/>
        <v>44615</v>
      </c>
      <c r="E140" s="223" t="s">
        <v>16</v>
      </c>
      <c r="F140" s="160">
        <v>9</v>
      </c>
      <c r="G140" s="197">
        <v>3</v>
      </c>
      <c r="H140" s="198">
        <f t="shared" si="25"/>
        <v>20.982460991879897</v>
      </c>
      <c r="I140" s="198">
        <f t="shared" si="39"/>
        <v>10.792264234856615</v>
      </c>
      <c r="J140" s="199">
        <f t="shared" si="36"/>
        <v>32.376792704569844</v>
      </c>
      <c r="K140" s="200">
        <f t="shared" si="41"/>
        <v>62.947382975639691</v>
      </c>
      <c r="L140" s="201">
        <f t="shared" si="40"/>
        <v>-30.570590271069847</v>
      </c>
      <c r="M140" s="202">
        <f t="shared" si="26"/>
        <v>-1.6693712168449921</v>
      </c>
      <c r="N140" s="203">
        <f t="shared" si="27"/>
        <v>-32.23996148791484</v>
      </c>
      <c r="O140" s="202">
        <v>0</v>
      </c>
      <c r="P140" s="202">
        <v>0</v>
      </c>
      <c r="Q140" s="202">
        <v>0</v>
      </c>
      <c r="R140" s="203">
        <f t="shared" si="28"/>
        <v>-32.23996148791484</v>
      </c>
    </row>
    <row r="141" spans="1:18" x14ac:dyDescent="0.2">
      <c r="A141" s="160">
        <v>2</v>
      </c>
      <c r="B141" s="195">
        <f t="shared" si="35"/>
        <v>44593</v>
      </c>
      <c r="C141" s="216">
        <f t="shared" si="42"/>
        <v>44623</v>
      </c>
      <c r="D141" s="216">
        <f t="shared" si="42"/>
        <v>44642</v>
      </c>
      <c r="E141" s="54" t="s">
        <v>16</v>
      </c>
      <c r="F141" s="160">
        <v>9</v>
      </c>
      <c r="G141" s="197">
        <v>2</v>
      </c>
      <c r="H141" s="198">
        <f t="shared" si="25"/>
        <v>20.982460991879897</v>
      </c>
      <c r="I141" s="198">
        <f t="shared" si="39"/>
        <v>10.792264234856615</v>
      </c>
      <c r="J141" s="199">
        <f t="shared" si="36"/>
        <v>21.584528469713231</v>
      </c>
      <c r="K141" s="200">
        <f t="shared" si="41"/>
        <v>41.964921983759794</v>
      </c>
      <c r="L141" s="201">
        <f t="shared" si="40"/>
        <v>-20.380393514046563</v>
      </c>
      <c r="M141" s="202">
        <f t="shared" si="26"/>
        <v>-1.1129141445633284</v>
      </c>
      <c r="N141" s="203">
        <f t="shared" si="27"/>
        <v>-21.493307658609893</v>
      </c>
      <c r="O141" s="202">
        <v>0</v>
      </c>
      <c r="P141" s="202">
        <v>0</v>
      </c>
      <c r="Q141" s="202">
        <v>0</v>
      </c>
      <c r="R141" s="203">
        <f t="shared" si="28"/>
        <v>-21.493307658609893</v>
      </c>
    </row>
    <row r="142" spans="1:18" x14ac:dyDescent="0.2">
      <c r="A142" s="160">
        <v>3</v>
      </c>
      <c r="B142" s="195">
        <f t="shared" si="35"/>
        <v>44621</v>
      </c>
      <c r="C142" s="216">
        <f t="shared" si="42"/>
        <v>44656</v>
      </c>
      <c r="D142" s="216">
        <f t="shared" si="42"/>
        <v>44676</v>
      </c>
      <c r="E142" s="54" t="s">
        <v>16</v>
      </c>
      <c r="F142" s="160">
        <v>9</v>
      </c>
      <c r="G142" s="197">
        <v>3</v>
      </c>
      <c r="H142" s="198">
        <f t="shared" si="25"/>
        <v>20.982460991879897</v>
      </c>
      <c r="I142" s="198">
        <f t="shared" si="39"/>
        <v>10.792264234856615</v>
      </c>
      <c r="J142" s="199">
        <f t="shared" si="36"/>
        <v>32.376792704569844</v>
      </c>
      <c r="K142" s="200">
        <f t="shared" si="41"/>
        <v>62.947382975639691</v>
      </c>
      <c r="L142" s="201">
        <f>+J142-K142</f>
        <v>-30.570590271069847</v>
      </c>
      <c r="M142" s="202">
        <f t="shared" si="26"/>
        <v>-1.6693712168449921</v>
      </c>
      <c r="N142" s="203">
        <f t="shared" si="27"/>
        <v>-32.23996148791484</v>
      </c>
      <c r="O142" s="202">
        <v>0</v>
      </c>
      <c r="P142" s="202">
        <v>0</v>
      </c>
      <c r="Q142" s="202">
        <v>0</v>
      </c>
      <c r="R142" s="203">
        <f t="shared" si="28"/>
        <v>-32.23996148791484</v>
      </c>
    </row>
    <row r="143" spans="1:18" x14ac:dyDescent="0.2">
      <c r="A143" s="124">
        <v>4</v>
      </c>
      <c r="B143" s="195">
        <f t="shared" si="35"/>
        <v>44652</v>
      </c>
      <c r="C143" s="216">
        <f t="shared" si="42"/>
        <v>44685</v>
      </c>
      <c r="D143" s="216">
        <f t="shared" si="42"/>
        <v>44705</v>
      </c>
      <c r="E143" s="54" t="s">
        <v>16</v>
      </c>
      <c r="F143" s="160">
        <v>9</v>
      </c>
      <c r="G143" s="197">
        <v>2</v>
      </c>
      <c r="H143" s="198">
        <f t="shared" si="25"/>
        <v>20.982460991879897</v>
      </c>
      <c r="I143" s="198">
        <f t="shared" si="39"/>
        <v>10.792264234856615</v>
      </c>
      <c r="J143" s="199">
        <f t="shared" si="36"/>
        <v>21.584528469713231</v>
      </c>
      <c r="K143" s="200">
        <f t="shared" si="41"/>
        <v>41.964921983759794</v>
      </c>
      <c r="L143" s="201">
        <f t="shared" ref="L143:L153" si="43">+J143-K143</f>
        <v>-20.380393514046563</v>
      </c>
      <c r="M143" s="202">
        <f t="shared" si="26"/>
        <v>-1.1129141445633284</v>
      </c>
      <c r="N143" s="203">
        <f t="shared" si="27"/>
        <v>-21.493307658609893</v>
      </c>
      <c r="O143" s="202">
        <v>0</v>
      </c>
      <c r="P143" s="202">
        <v>0</v>
      </c>
      <c r="Q143" s="202">
        <v>0</v>
      </c>
      <c r="R143" s="203">
        <f t="shared" si="28"/>
        <v>-21.493307658609893</v>
      </c>
    </row>
    <row r="144" spans="1:18" x14ac:dyDescent="0.2">
      <c r="A144" s="160">
        <v>5</v>
      </c>
      <c r="B144" s="195">
        <f t="shared" si="35"/>
        <v>44682</v>
      </c>
      <c r="C144" s="216">
        <f t="shared" si="42"/>
        <v>44715</v>
      </c>
      <c r="D144" s="216">
        <f t="shared" si="42"/>
        <v>44735</v>
      </c>
      <c r="E144" s="54" t="s">
        <v>16</v>
      </c>
      <c r="F144" s="160">
        <v>9</v>
      </c>
      <c r="G144" s="197">
        <v>3</v>
      </c>
      <c r="H144" s="198">
        <f t="shared" si="25"/>
        <v>20.982460991879897</v>
      </c>
      <c r="I144" s="198">
        <f t="shared" si="39"/>
        <v>10.792264234856615</v>
      </c>
      <c r="J144" s="199">
        <f t="shared" si="36"/>
        <v>32.376792704569844</v>
      </c>
      <c r="K144" s="200">
        <f t="shared" si="41"/>
        <v>62.947382975639691</v>
      </c>
      <c r="L144" s="201">
        <f t="shared" si="43"/>
        <v>-30.570590271069847</v>
      </c>
      <c r="M144" s="202">
        <f t="shared" si="26"/>
        <v>-1.6693712168449921</v>
      </c>
      <c r="N144" s="203">
        <f t="shared" si="27"/>
        <v>-32.23996148791484</v>
      </c>
      <c r="O144" s="202">
        <v>0</v>
      </c>
      <c r="P144" s="202">
        <v>0</v>
      </c>
      <c r="Q144" s="202">
        <v>0</v>
      </c>
      <c r="R144" s="203">
        <f t="shared" si="28"/>
        <v>-32.23996148791484</v>
      </c>
    </row>
    <row r="145" spans="1:19" x14ac:dyDescent="0.2">
      <c r="A145" s="160">
        <v>6</v>
      </c>
      <c r="B145" s="195">
        <f t="shared" si="35"/>
        <v>44713</v>
      </c>
      <c r="C145" s="216">
        <f t="shared" si="42"/>
        <v>44747</v>
      </c>
      <c r="D145" s="216">
        <f t="shared" si="42"/>
        <v>44767</v>
      </c>
      <c r="E145" s="54" t="s">
        <v>16</v>
      </c>
      <c r="F145" s="160">
        <v>9</v>
      </c>
      <c r="G145" s="197">
        <v>5</v>
      </c>
      <c r="H145" s="198">
        <f t="shared" si="25"/>
        <v>20.982460991879897</v>
      </c>
      <c r="I145" s="198">
        <f t="shared" si="39"/>
        <v>10.792264234856615</v>
      </c>
      <c r="J145" s="199">
        <f t="shared" si="36"/>
        <v>53.961321174283079</v>
      </c>
      <c r="K145" s="200">
        <f t="shared" si="41"/>
        <v>104.91230495939948</v>
      </c>
      <c r="L145" s="205">
        <f t="shared" si="43"/>
        <v>-50.950983785116399</v>
      </c>
      <c r="M145" s="202">
        <f t="shared" si="26"/>
        <v>-2.7822853614083205</v>
      </c>
      <c r="N145" s="203">
        <f t="shared" si="27"/>
        <v>-53.733269146524719</v>
      </c>
      <c r="O145" s="202">
        <v>0</v>
      </c>
      <c r="P145" s="202">
        <v>0</v>
      </c>
      <c r="Q145" s="202">
        <v>0</v>
      </c>
      <c r="R145" s="203">
        <f t="shared" si="28"/>
        <v>-53.733269146524719</v>
      </c>
    </row>
    <row r="146" spans="1:19" x14ac:dyDescent="0.2">
      <c r="A146" s="124">
        <v>7</v>
      </c>
      <c r="B146" s="195">
        <f t="shared" si="35"/>
        <v>44743</v>
      </c>
      <c r="C146" s="216">
        <f t="shared" si="42"/>
        <v>44776</v>
      </c>
      <c r="D146" s="216">
        <f t="shared" si="42"/>
        <v>44796</v>
      </c>
      <c r="E146" s="54" t="s">
        <v>16</v>
      </c>
      <c r="F146" s="160">
        <v>9</v>
      </c>
      <c r="G146" s="197">
        <v>6</v>
      </c>
      <c r="H146" s="198">
        <f t="shared" si="25"/>
        <v>20.982460991879897</v>
      </c>
      <c r="I146" s="198">
        <f t="shared" si="39"/>
        <v>10.792264234856615</v>
      </c>
      <c r="J146" s="199">
        <f t="shared" si="36"/>
        <v>64.753585409139689</v>
      </c>
      <c r="K146" s="206">
        <f t="shared" si="41"/>
        <v>125.89476595127938</v>
      </c>
      <c r="L146" s="205">
        <f t="shared" si="43"/>
        <v>-61.141180542139693</v>
      </c>
      <c r="M146" s="202">
        <f t="shared" si="26"/>
        <v>-3.3387424336899842</v>
      </c>
      <c r="N146" s="203">
        <f t="shared" si="27"/>
        <v>-64.47992297582968</v>
      </c>
      <c r="O146" s="202">
        <v>0</v>
      </c>
      <c r="P146" s="202">
        <v>0</v>
      </c>
      <c r="Q146" s="202">
        <v>0</v>
      </c>
      <c r="R146" s="203">
        <f t="shared" si="28"/>
        <v>-64.47992297582968</v>
      </c>
    </row>
    <row r="147" spans="1:19" x14ac:dyDescent="0.2">
      <c r="A147" s="160">
        <v>8</v>
      </c>
      <c r="B147" s="195">
        <f t="shared" si="35"/>
        <v>44774</v>
      </c>
      <c r="C147" s="216">
        <f t="shared" si="42"/>
        <v>44809</v>
      </c>
      <c r="D147" s="216">
        <f t="shared" si="42"/>
        <v>44827</v>
      </c>
      <c r="E147" s="54" t="s">
        <v>16</v>
      </c>
      <c r="F147" s="160">
        <v>9</v>
      </c>
      <c r="G147" s="197">
        <v>6</v>
      </c>
      <c r="H147" s="198">
        <f t="shared" si="25"/>
        <v>20.982460991879897</v>
      </c>
      <c r="I147" s="198">
        <f t="shared" si="39"/>
        <v>10.792264234856615</v>
      </c>
      <c r="J147" s="199">
        <f t="shared" si="36"/>
        <v>64.753585409139689</v>
      </c>
      <c r="K147" s="206">
        <f t="shared" si="41"/>
        <v>125.89476595127938</v>
      </c>
      <c r="L147" s="205">
        <f t="shared" si="43"/>
        <v>-61.141180542139693</v>
      </c>
      <c r="M147" s="202">
        <f t="shared" si="26"/>
        <v>-3.3387424336899842</v>
      </c>
      <c r="N147" s="203">
        <f t="shared" si="27"/>
        <v>-64.47992297582968</v>
      </c>
      <c r="O147" s="202">
        <v>0</v>
      </c>
      <c r="P147" s="202">
        <v>0</v>
      </c>
      <c r="Q147" s="202">
        <v>0</v>
      </c>
      <c r="R147" s="203">
        <f t="shared" si="28"/>
        <v>-64.47992297582968</v>
      </c>
    </row>
    <row r="148" spans="1:19" x14ac:dyDescent="0.2">
      <c r="A148" s="160">
        <v>9</v>
      </c>
      <c r="B148" s="195">
        <f t="shared" si="35"/>
        <v>44805</v>
      </c>
      <c r="C148" s="216">
        <f t="shared" si="42"/>
        <v>44839</v>
      </c>
      <c r="D148" s="216">
        <f t="shared" si="42"/>
        <v>44859</v>
      </c>
      <c r="E148" s="54" t="s">
        <v>16</v>
      </c>
      <c r="F148" s="160">
        <v>9</v>
      </c>
      <c r="G148" s="197">
        <v>3</v>
      </c>
      <c r="H148" s="198">
        <f t="shared" si="25"/>
        <v>20.982460991879897</v>
      </c>
      <c r="I148" s="198">
        <f t="shared" ref="I148:I179" si="44">$J$3</f>
        <v>10.792264234856615</v>
      </c>
      <c r="J148" s="199">
        <f t="shared" si="36"/>
        <v>32.376792704569844</v>
      </c>
      <c r="K148" s="206">
        <f t="shared" si="41"/>
        <v>62.947382975639691</v>
      </c>
      <c r="L148" s="205">
        <f t="shared" si="43"/>
        <v>-30.570590271069847</v>
      </c>
      <c r="M148" s="202">
        <f t="shared" si="26"/>
        <v>-1.6693712168449921</v>
      </c>
      <c r="N148" s="203">
        <f t="shared" si="27"/>
        <v>-32.23996148791484</v>
      </c>
      <c r="O148" s="202">
        <v>0</v>
      </c>
      <c r="P148" s="202">
        <v>0</v>
      </c>
      <c r="Q148" s="202">
        <v>0</v>
      </c>
      <c r="R148" s="203">
        <f t="shared" si="28"/>
        <v>-32.23996148791484</v>
      </c>
    </row>
    <row r="149" spans="1:19" x14ac:dyDescent="0.2">
      <c r="A149" s="124">
        <v>10</v>
      </c>
      <c r="B149" s="195">
        <f t="shared" ref="B149:B211" si="45">DATE($R$1,A149,1)</f>
        <v>44835</v>
      </c>
      <c r="C149" s="216">
        <f t="shared" si="42"/>
        <v>44868</v>
      </c>
      <c r="D149" s="216">
        <f t="shared" si="42"/>
        <v>44888</v>
      </c>
      <c r="E149" s="54" t="s">
        <v>16</v>
      </c>
      <c r="F149" s="160">
        <v>9</v>
      </c>
      <c r="G149" s="197">
        <v>2</v>
      </c>
      <c r="H149" s="198">
        <f t="shared" ref="H149:H211" si="46">+$K$3</f>
        <v>20.982460991879897</v>
      </c>
      <c r="I149" s="198">
        <f t="shared" si="44"/>
        <v>10.792264234856615</v>
      </c>
      <c r="J149" s="199">
        <f t="shared" ref="J149:J211" si="47">+$G149*I149</f>
        <v>21.584528469713231</v>
      </c>
      <c r="K149" s="206">
        <f t="shared" si="41"/>
        <v>41.964921983759794</v>
      </c>
      <c r="L149" s="205">
        <f t="shared" si="43"/>
        <v>-20.380393514046563</v>
      </c>
      <c r="M149" s="202">
        <f t="shared" ref="M149:M211" si="48">G149/$G$212*$M$14</f>
        <v>-1.1129141445633284</v>
      </c>
      <c r="N149" s="203">
        <f t="shared" ref="N149:N211" si="49">SUM(L149:M149)</f>
        <v>-21.493307658609893</v>
      </c>
      <c r="O149" s="202">
        <v>0</v>
      </c>
      <c r="P149" s="202">
        <v>0</v>
      </c>
      <c r="Q149" s="202">
        <v>0</v>
      </c>
      <c r="R149" s="203">
        <f t="shared" ref="R149:R211" si="50">+N149-Q149</f>
        <v>-21.493307658609893</v>
      </c>
    </row>
    <row r="150" spans="1:19" x14ac:dyDescent="0.2">
      <c r="A150" s="160">
        <v>11</v>
      </c>
      <c r="B150" s="195">
        <f t="shared" si="45"/>
        <v>44866</v>
      </c>
      <c r="C150" s="216">
        <f t="shared" si="42"/>
        <v>44900</v>
      </c>
      <c r="D150" s="216">
        <f t="shared" si="42"/>
        <v>44918</v>
      </c>
      <c r="E150" s="54" t="s">
        <v>16</v>
      </c>
      <c r="F150" s="160">
        <v>9</v>
      </c>
      <c r="G150" s="197">
        <v>1</v>
      </c>
      <c r="H150" s="198">
        <f t="shared" si="46"/>
        <v>20.982460991879897</v>
      </c>
      <c r="I150" s="198">
        <f t="shared" si="44"/>
        <v>10.792264234856615</v>
      </c>
      <c r="J150" s="199">
        <f t="shared" si="47"/>
        <v>10.792264234856615</v>
      </c>
      <c r="K150" s="206">
        <f t="shared" si="41"/>
        <v>20.982460991879897</v>
      </c>
      <c r="L150" s="205">
        <f t="shared" si="43"/>
        <v>-10.190196757023282</v>
      </c>
      <c r="M150" s="202">
        <f t="shared" si="48"/>
        <v>-0.55645707228166419</v>
      </c>
      <c r="N150" s="203">
        <f t="shared" si="49"/>
        <v>-10.746653829304947</v>
      </c>
      <c r="O150" s="202">
        <v>0</v>
      </c>
      <c r="P150" s="202">
        <v>0</v>
      </c>
      <c r="Q150" s="202">
        <v>0</v>
      </c>
      <c r="R150" s="203">
        <f t="shared" si="50"/>
        <v>-10.746653829304947</v>
      </c>
    </row>
    <row r="151" spans="1:19" s="220" customFormat="1" x14ac:dyDescent="0.2">
      <c r="A151" s="160">
        <v>12</v>
      </c>
      <c r="B151" s="218">
        <f t="shared" si="45"/>
        <v>44896</v>
      </c>
      <c r="C151" s="216">
        <f t="shared" si="42"/>
        <v>44930</v>
      </c>
      <c r="D151" s="216">
        <f t="shared" si="42"/>
        <v>44950</v>
      </c>
      <c r="E151" s="219" t="s">
        <v>16</v>
      </c>
      <c r="F151" s="171">
        <v>9</v>
      </c>
      <c r="G151" s="207">
        <v>4</v>
      </c>
      <c r="H151" s="208">
        <f t="shared" si="46"/>
        <v>20.982460991879897</v>
      </c>
      <c r="I151" s="208">
        <f t="shared" si="44"/>
        <v>10.792264234856615</v>
      </c>
      <c r="J151" s="209">
        <f t="shared" si="47"/>
        <v>43.169056939426461</v>
      </c>
      <c r="K151" s="210">
        <f t="shared" si="41"/>
        <v>83.929843967519588</v>
      </c>
      <c r="L151" s="211">
        <f t="shared" si="43"/>
        <v>-40.760787028093127</v>
      </c>
      <c r="M151" s="202">
        <f t="shared" si="48"/>
        <v>-2.2258282891266568</v>
      </c>
      <c r="N151" s="203">
        <f t="shared" si="49"/>
        <v>-42.986615317219787</v>
      </c>
      <c r="O151" s="202">
        <v>0</v>
      </c>
      <c r="P151" s="202">
        <v>0</v>
      </c>
      <c r="Q151" s="202">
        <v>0</v>
      </c>
      <c r="R151" s="203">
        <f t="shared" si="50"/>
        <v>-42.986615317219787</v>
      </c>
    </row>
    <row r="152" spans="1:19" x14ac:dyDescent="0.2">
      <c r="A152" s="124">
        <v>1</v>
      </c>
      <c r="B152" s="195">
        <f t="shared" si="45"/>
        <v>44562</v>
      </c>
      <c r="C152" s="213">
        <f t="shared" ref="C152:D171" si="51">+C140</f>
        <v>44595</v>
      </c>
      <c r="D152" s="213">
        <f t="shared" si="51"/>
        <v>44615</v>
      </c>
      <c r="E152" s="223" t="s">
        <v>53</v>
      </c>
      <c r="F152" s="124">
        <v>9</v>
      </c>
      <c r="G152" s="197">
        <v>121</v>
      </c>
      <c r="H152" s="198">
        <f t="shared" si="46"/>
        <v>20.982460991879897</v>
      </c>
      <c r="I152" s="198">
        <f t="shared" si="44"/>
        <v>10.792264234856615</v>
      </c>
      <c r="J152" s="199">
        <f t="shared" si="47"/>
        <v>1305.8639724176505</v>
      </c>
      <c r="K152" s="200">
        <f t="shared" si="41"/>
        <v>2538.8777800174676</v>
      </c>
      <c r="L152" s="201">
        <f t="shared" si="43"/>
        <v>-1233.013807599817</v>
      </c>
      <c r="M152" s="202">
        <f t="shared" si="48"/>
        <v>-67.331305746081355</v>
      </c>
      <c r="N152" s="203">
        <f t="shared" si="49"/>
        <v>-1300.3451133458984</v>
      </c>
      <c r="O152" s="202">
        <v>0</v>
      </c>
      <c r="P152" s="202">
        <v>0</v>
      </c>
      <c r="Q152" s="202">
        <v>0</v>
      </c>
      <c r="R152" s="203">
        <f t="shared" si="50"/>
        <v>-1300.3451133458984</v>
      </c>
    </row>
    <row r="153" spans="1:19" x14ac:dyDescent="0.2">
      <c r="A153" s="160">
        <v>2</v>
      </c>
      <c r="B153" s="195">
        <f t="shared" si="45"/>
        <v>44593</v>
      </c>
      <c r="C153" s="216">
        <f t="shared" si="51"/>
        <v>44623</v>
      </c>
      <c r="D153" s="216">
        <f t="shared" si="51"/>
        <v>44642</v>
      </c>
      <c r="E153" s="224" t="s">
        <v>53</v>
      </c>
      <c r="F153" s="160">
        <v>9</v>
      </c>
      <c r="G153" s="197">
        <v>109</v>
      </c>
      <c r="H153" s="198">
        <f t="shared" si="46"/>
        <v>20.982460991879897</v>
      </c>
      <c r="I153" s="198">
        <f t="shared" si="44"/>
        <v>10.792264234856615</v>
      </c>
      <c r="J153" s="199">
        <f t="shared" si="47"/>
        <v>1176.356801599371</v>
      </c>
      <c r="K153" s="200">
        <f t="shared" si="41"/>
        <v>2287.0882481149088</v>
      </c>
      <c r="L153" s="201">
        <f t="shared" si="43"/>
        <v>-1110.7314465155378</v>
      </c>
      <c r="M153" s="202">
        <f t="shared" si="48"/>
        <v>-60.653820878701382</v>
      </c>
      <c r="N153" s="203">
        <f t="shared" si="49"/>
        <v>-1171.3852673942392</v>
      </c>
      <c r="O153" s="202">
        <v>0</v>
      </c>
      <c r="P153" s="202">
        <v>0</v>
      </c>
      <c r="Q153" s="202">
        <v>0</v>
      </c>
      <c r="R153" s="203">
        <f t="shared" si="50"/>
        <v>-1171.3852673942392</v>
      </c>
    </row>
    <row r="154" spans="1:19" x14ac:dyDescent="0.2">
      <c r="A154" s="160">
        <v>3</v>
      </c>
      <c r="B154" s="195">
        <f t="shared" si="45"/>
        <v>44621</v>
      </c>
      <c r="C154" s="216">
        <f t="shared" si="51"/>
        <v>44656</v>
      </c>
      <c r="D154" s="216">
        <f t="shared" si="51"/>
        <v>44676</v>
      </c>
      <c r="E154" s="224" t="s">
        <v>53</v>
      </c>
      <c r="F154" s="160">
        <v>9</v>
      </c>
      <c r="G154" s="197">
        <v>95</v>
      </c>
      <c r="H154" s="198">
        <f t="shared" si="46"/>
        <v>20.982460991879897</v>
      </c>
      <c r="I154" s="198">
        <f t="shared" si="44"/>
        <v>10.792264234856615</v>
      </c>
      <c r="J154" s="199">
        <f t="shared" si="47"/>
        <v>1025.2651023113785</v>
      </c>
      <c r="K154" s="200">
        <f t="shared" si="41"/>
        <v>1993.3337942285902</v>
      </c>
      <c r="L154" s="201">
        <f>+J154-K154</f>
        <v>-968.06869191721171</v>
      </c>
      <c r="M154" s="202">
        <f t="shared" si="48"/>
        <v>-52.863421866758095</v>
      </c>
      <c r="N154" s="203">
        <f t="shared" si="49"/>
        <v>-1020.9321137839698</v>
      </c>
      <c r="O154" s="202">
        <v>0</v>
      </c>
      <c r="P154" s="202">
        <v>0</v>
      </c>
      <c r="Q154" s="202">
        <v>0</v>
      </c>
      <c r="R154" s="203">
        <f t="shared" si="50"/>
        <v>-1020.9321137839698</v>
      </c>
    </row>
    <row r="155" spans="1:19" x14ac:dyDescent="0.2">
      <c r="A155" s="124">
        <v>4</v>
      </c>
      <c r="B155" s="195">
        <f t="shared" si="45"/>
        <v>44652</v>
      </c>
      <c r="C155" s="216">
        <f t="shared" si="51"/>
        <v>44685</v>
      </c>
      <c r="D155" s="216">
        <f t="shared" si="51"/>
        <v>44705</v>
      </c>
      <c r="E155" s="224" t="s">
        <v>53</v>
      </c>
      <c r="F155" s="160">
        <v>9</v>
      </c>
      <c r="G155" s="197">
        <v>93</v>
      </c>
      <c r="H155" s="198">
        <f t="shared" si="46"/>
        <v>20.982460991879897</v>
      </c>
      <c r="I155" s="198">
        <f t="shared" si="44"/>
        <v>10.792264234856615</v>
      </c>
      <c r="J155" s="199">
        <f t="shared" si="47"/>
        <v>1003.6805738416653</v>
      </c>
      <c r="K155" s="200">
        <f t="shared" si="41"/>
        <v>1951.3688722448305</v>
      </c>
      <c r="L155" s="201">
        <f t="shared" ref="L155:L165" si="52">+J155-K155</f>
        <v>-947.68829840316528</v>
      </c>
      <c r="M155" s="202">
        <f t="shared" si="48"/>
        <v>-51.750507722194762</v>
      </c>
      <c r="N155" s="203">
        <f t="shared" si="49"/>
        <v>-999.43880612536009</v>
      </c>
      <c r="O155" s="202">
        <v>0</v>
      </c>
      <c r="P155" s="202">
        <v>0</v>
      </c>
      <c r="Q155" s="202">
        <v>0</v>
      </c>
      <c r="R155" s="203">
        <f t="shared" si="50"/>
        <v>-999.43880612536009</v>
      </c>
    </row>
    <row r="156" spans="1:19" x14ac:dyDescent="0.2">
      <c r="A156" s="160">
        <v>5</v>
      </c>
      <c r="B156" s="195">
        <f t="shared" si="45"/>
        <v>44682</v>
      </c>
      <c r="C156" s="216">
        <f t="shared" si="51"/>
        <v>44715</v>
      </c>
      <c r="D156" s="216">
        <f t="shared" si="51"/>
        <v>44735</v>
      </c>
      <c r="E156" s="224" t="s">
        <v>53</v>
      </c>
      <c r="F156" s="160">
        <v>9</v>
      </c>
      <c r="G156" s="197">
        <v>125</v>
      </c>
      <c r="H156" s="198">
        <f t="shared" si="46"/>
        <v>20.982460991879897</v>
      </c>
      <c r="I156" s="198">
        <f t="shared" si="44"/>
        <v>10.792264234856615</v>
      </c>
      <c r="J156" s="199">
        <f t="shared" si="47"/>
        <v>1349.0330293570769</v>
      </c>
      <c r="K156" s="200">
        <f t="shared" si="41"/>
        <v>2622.807623984987</v>
      </c>
      <c r="L156" s="201">
        <f t="shared" si="52"/>
        <v>-1273.7745946279101</v>
      </c>
      <c r="M156" s="202">
        <f t="shared" si="48"/>
        <v>-69.557134035208009</v>
      </c>
      <c r="N156" s="203">
        <f t="shared" si="49"/>
        <v>-1343.3317286631182</v>
      </c>
      <c r="O156" s="202">
        <v>0</v>
      </c>
      <c r="P156" s="202">
        <v>0</v>
      </c>
      <c r="Q156" s="202">
        <v>0</v>
      </c>
      <c r="R156" s="203">
        <f t="shared" si="50"/>
        <v>-1343.3317286631182</v>
      </c>
    </row>
    <row r="157" spans="1:19" x14ac:dyDescent="0.2">
      <c r="A157" s="160">
        <v>6</v>
      </c>
      <c r="B157" s="195">
        <f t="shared" si="45"/>
        <v>44713</v>
      </c>
      <c r="C157" s="216">
        <f t="shared" si="51"/>
        <v>44747</v>
      </c>
      <c r="D157" s="216">
        <f t="shared" si="51"/>
        <v>44767</v>
      </c>
      <c r="E157" s="224" t="s">
        <v>53</v>
      </c>
      <c r="F157" s="160">
        <v>9</v>
      </c>
      <c r="G157" s="197">
        <v>159</v>
      </c>
      <c r="H157" s="198">
        <f t="shared" si="46"/>
        <v>20.982460991879897</v>
      </c>
      <c r="I157" s="198">
        <f t="shared" si="44"/>
        <v>10.792264234856615</v>
      </c>
      <c r="J157" s="199">
        <f t="shared" si="47"/>
        <v>1715.9700133422018</v>
      </c>
      <c r="K157" s="200">
        <f t="shared" si="41"/>
        <v>3336.2112977089037</v>
      </c>
      <c r="L157" s="205">
        <f t="shared" si="52"/>
        <v>-1620.2412843667018</v>
      </c>
      <c r="M157" s="202">
        <f t="shared" si="48"/>
        <v>-88.476674492784596</v>
      </c>
      <c r="N157" s="203">
        <f t="shared" si="49"/>
        <v>-1708.7179588594865</v>
      </c>
      <c r="O157" s="202">
        <v>0</v>
      </c>
      <c r="P157" s="202">
        <v>0</v>
      </c>
      <c r="Q157" s="202">
        <v>0</v>
      </c>
      <c r="R157" s="203">
        <f t="shared" si="50"/>
        <v>-1708.7179588594865</v>
      </c>
    </row>
    <row r="158" spans="1:19" x14ac:dyDescent="0.2">
      <c r="A158" s="124">
        <v>7</v>
      </c>
      <c r="B158" s="195">
        <f t="shared" si="45"/>
        <v>44743</v>
      </c>
      <c r="C158" s="216">
        <f t="shared" si="51"/>
        <v>44776</v>
      </c>
      <c r="D158" s="216">
        <f t="shared" si="51"/>
        <v>44796</v>
      </c>
      <c r="E158" s="224" t="s">
        <v>53</v>
      </c>
      <c r="F158" s="160">
        <v>9</v>
      </c>
      <c r="G158" s="197">
        <v>176</v>
      </c>
      <c r="H158" s="198">
        <f t="shared" si="46"/>
        <v>20.982460991879897</v>
      </c>
      <c r="I158" s="198">
        <f t="shared" si="44"/>
        <v>10.792264234856615</v>
      </c>
      <c r="J158" s="199">
        <f t="shared" si="47"/>
        <v>1899.4385053347644</v>
      </c>
      <c r="K158" s="206">
        <f t="shared" si="41"/>
        <v>3692.913134570862</v>
      </c>
      <c r="L158" s="205">
        <f t="shared" si="52"/>
        <v>-1793.4746292360976</v>
      </c>
      <c r="M158" s="202">
        <f t="shared" si="48"/>
        <v>-97.936444721572883</v>
      </c>
      <c r="N158" s="203">
        <f t="shared" si="49"/>
        <v>-1891.4110739576704</v>
      </c>
      <c r="O158" s="202">
        <v>0</v>
      </c>
      <c r="P158" s="202">
        <v>0</v>
      </c>
      <c r="Q158" s="202">
        <v>0</v>
      </c>
      <c r="R158" s="203">
        <f t="shared" si="50"/>
        <v>-1891.4110739576704</v>
      </c>
    </row>
    <row r="159" spans="1:19" x14ac:dyDescent="0.2">
      <c r="A159" s="160">
        <v>8</v>
      </c>
      <c r="B159" s="195">
        <f t="shared" si="45"/>
        <v>44774</v>
      </c>
      <c r="C159" s="216">
        <f t="shared" si="51"/>
        <v>44809</v>
      </c>
      <c r="D159" s="216">
        <f t="shared" si="51"/>
        <v>44827</v>
      </c>
      <c r="E159" s="224" t="s">
        <v>53</v>
      </c>
      <c r="F159" s="124">
        <v>9</v>
      </c>
      <c r="G159" s="197">
        <v>167</v>
      </c>
      <c r="H159" s="198">
        <f t="shared" si="46"/>
        <v>20.982460991879897</v>
      </c>
      <c r="I159" s="198">
        <f t="shared" si="44"/>
        <v>10.792264234856615</v>
      </c>
      <c r="J159" s="199">
        <f t="shared" si="47"/>
        <v>1802.3081272210547</v>
      </c>
      <c r="K159" s="206">
        <f t="shared" si="41"/>
        <v>3504.070985643943</v>
      </c>
      <c r="L159" s="205">
        <f t="shared" si="52"/>
        <v>-1701.7628584228883</v>
      </c>
      <c r="M159" s="202">
        <f t="shared" si="48"/>
        <v>-92.928331071037903</v>
      </c>
      <c r="N159" s="203">
        <f t="shared" si="49"/>
        <v>-1794.6911894939262</v>
      </c>
      <c r="O159" s="202">
        <v>0</v>
      </c>
      <c r="P159" s="202">
        <v>0</v>
      </c>
      <c r="Q159" s="202">
        <v>0</v>
      </c>
      <c r="R159" s="203">
        <f t="shared" si="50"/>
        <v>-1794.6911894939262</v>
      </c>
      <c r="S159" s="52"/>
    </row>
    <row r="160" spans="1:19" x14ac:dyDescent="0.2">
      <c r="A160" s="160">
        <v>9</v>
      </c>
      <c r="B160" s="195">
        <f t="shared" si="45"/>
        <v>44805</v>
      </c>
      <c r="C160" s="216">
        <f t="shared" si="51"/>
        <v>44839</v>
      </c>
      <c r="D160" s="216">
        <f t="shared" si="51"/>
        <v>44859</v>
      </c>
      <c r="E160" s="224" t="s">
        <v>53</v>
      </c>
      <c r="F160" s="124">
        <v>9</v>
      </c>
      <c r="G160" s="197">
        <v>153</v>
      </c>
      <c r="H160" s="198">
        <f t="shared" si="46"/>
        <v>20.982460991879897</v>
      </c>
      <c r="I160" s="198">
        <f t="shared" si="44"/>
        <v>10.792264234856615</v>
      </c>
      <c r="J160" s="199">
        <f t="shared" si="47"/>
        <v>1651.2164279330621</v>
      </c>
      <c r="K160" s="206">
        <f t="shared" si="41"/>
        <v>3210.316531757624</v>
      </c>
      <c r="L160" s="205">
        <f t="shared" si="52"/>
        <v>-1559.100103824562</v>
      </c>
      <c r="M160" s="202">
        <f t="shared" si="48"/>
        <v>-85.137932059094609</v>
      </c>
      <c r="N160" s="203">
        <f t="shared" si="49"/>
        <v>-1644.2380358836565</v>
      </c>
      <c r="O160" s="202">
        <v>0</v>
      </c>
      <c r="P160" s="202">
        <v>0</v>
      </c>
      <c r="Q160" s="202">
        <v>0</v>
      </c>
      <c r="R160" s="203">
        <f t="shared" si="50"/>
        <v>-1644.2380358836565</v>
      </c>
    </row>
    <row r="161" spans="1:19" x14ac:dyDescent="0.2">
      <c r="A161" s="124">
        <v>10</v>
      </c>
      <c r="B161" s="195">
        <f t="shared" si="45"/>
        <v>44835</v>
      </c>
      <c r="C161" s="216">
        <f t="shared" si="51"/>
        <v>44868</v>
      </c>
      <c r="D161" s="216">
        <f t="shared" si="51"/>
        <v>44888</v>
      </c>
      <c r="E161" s="224" t="s">
        <v>53</v>
      </c>
      <c r="F161" s="124">
        <v>9</v>
      </c>
      <c r="G161" s="197">
        <v>104</v>
      </c>
      <c r="H161" s="198">
        <f t="shared" si="46"/>
        <v>20.982460991879897</v>
      </c>
      <c r="I161" s="198">
        <f t="shared" si="44"/>
        <v>10.792264234856615</v>
      </c>
      <c r="J161" s="199">
        <f t="shared" si="47"/>
        <v>1122.395480425088</v>
      </c>
      <c r="K161" s="206">
        <f t="shared" si="41"/>
        <v>2182.1759431555092</v>
      </c>
      <c r="L161" s="205">
        <f t="shared" si="52"/>
        <v>-1059.7804627304213</v>
      </c>
      <c r="M161" s="202">
        <f t="shared" si="48"/>
        <v>-57.871535517293061</v>
      </c>
      <c r="N161" s="203">
        <f t="shared" si="49"/>
        <v>-1117.6519982477143</v>
      </c>
      <c r="O161" s="202">
        <v>0</v>
      </c>
      <c r="P161" s="202">
        <v>0</v>
      </c>
      <c r="Q161" s="202">
        <v>0</v>
      </c>
      <c r="R161" s="203">
        <f t="shared" si="50"/>
        <v>-1117.6519982477143</v>
      </c>
    </row>
    <row r="162" spans="1:19" x14ac:dyDescent="0.2">
      <c r="A162" s="160">
        <v>11</v>
      </c>
      <c r="B162" s="195">
        <f t="shared" si="45"/>
        <v>44866</v>
      </c>
      <c r="C162" s="216">
        <f t="shared" si="51"/>
        <v>44900</v>
      </c>
      <c r="D162" s="216">
        <f t="shared" si="51"/>
        <v>44918</v>
      </c>
      <c r="E162" s="224" t="s">
        <v>53</v>
      </c>
      <c r="F162" s="124">
        <v>9</v>
      </c>
      <c r="G162" s="197">
        <v>104</v>
      </c>
      <c r="H162" s="198">
        <f t="shared" si="46"/>
        <v>20.982460991879897</v>
      </c>
      <c r="I162" s="198">
        <f t="shared" si="44"/>
        <v>10.792264234856615</v>
      </c>
      <c r="J162" s="199">
        <f t="shared" si="47"/>
        <v>1122.395480425088</v>
      </c>
      <c r="K162" s="206">
        <f t="shared" si="41"/>
        <v>2182.1759431555092</v>
      </c>
      <c r="L162" s="205">
        <f t="shared" si="52"/>
        <v>-1059.7804627304213</v>
      </c>
      <c r="M162" s="202">
        <f t="shared" si="48"/>
        <v>-57.871535517293061</v>
      </c>
      <c r="N162" s="203">
        <f t="shared" si="49"/>
        <v>-1117.6519982477143</v>
      </c>
      <c r="O162" s="202">
        <v>0</v>
      </c>
      <c r="P162" s="202">
        <v>0</v>
      </c>
      <c r="Q162" s="202">
        <v>0</v>
      </c>
      <c r="R162" s="203">
        <f t="shared" si="50"/>
        <v>-1117.6519982477143</v>
      </c>
    </row>
    <row r="163" spans="1:19" s="220" customFormat="1" x14ac:dyDescent="0.2">
      <c r="A163" s="160">
        <v>12</v>
      </c>
      <c r="B163" s="218">
        <f t="shared" si="45"/>
        <v>44896</v>
      </c>
      <c r="C163" s="216">
        <f t="shared" si="51"/>
        <v>44930</v>
      </c>
      <c r="D163" s="216">
        <f t="shared" si="51"/>
        <v>44950</v>
      </c>
      <c r="E163" s="225" t="s">
        <v>53</v>
      </c>
      <c r="F163" s="171">
        <v>9</v>
      </c>
      <c r="G163" s="207">
        <v>139</v>
      </c>
      <c r="H163" s="208">
        <f t="shared" si="46"/>
        <v>20.982460991879897</v>
      </c>
      <c r="I163" s="208">
        <f t="shared" si="44"/>
        <v>10.792264234856615</v>
      </c>
      <c r="J163" s="209">
        <f t="shared" si="47"/>
        <v>1500.1247286450696</v>
      </c>
      <c r="K163" s="210">
        <f t="shared" si="41"/>
        <v>2916.5620778713055</v>
      </c>
      <c r="L163" s="211">
        <f t="shared" si="52"/>
        <v>-1416.4373492262359</v>
      </c>
      <c r="M163" s="202">
        <f t="shared" si="48"/>
        <v>-77.347533047151316</v>
      </c>
      <c r="N163" s="203">
        <f t="shared" si="49"/>
        <v>-1493.7848822733872</v>
      </c>
      <c r="O163" s="202">
        <v>0</v>
      </c>
      <c r="P163" s="202">
        <v>0</v>
      </c>
      <c r="Q163" s="202">
        <v>0</v>
      </c>
      <c r="R163" s="203">
        <f t="shared" si="50"/>
        <v>-1493.7848822733872</v>
      </c>
    </row>
    <row r="164" spans="1:19" x14ac:dyDescent="0.2">
      <c r="A164" s="124">
        <v>1</v>
      </c>
      <c r="B164" s="195">
        <f t="shared" si="45"/>
        <v>44562</v>
      </c>
      <c r="C164" s="213">
        <f t="shared" si="51"/>
        <v>44595</v>
      </c>
      <c r="D164" s="213">
        <f t="shared" si="51"/>
        <v>44615</v>
      </c>
      <c r="E164" s="223" t="s">
        <v>54</v>
      </c>
      <c r="F164" s="124">
        <v>9</v>
      </c>
      <c r="G164" s="197">
        <v>8</v>
      </c>
      <c r="H164" s="198">
        <f t="shared" si="46"/>
        <v>20.982460991879897</v>
      </c>
      <c r="I164" s="198">
        <f t="shared" si="44"/>
        <v>10.792264234856615</v>
      </c>
      <c r="J164" s="199">
        <f t="shared" si="47"/>
        <v>86.338113878852923</v>
      </c>
      <c r="K164" s="200">
        <f t="shared" si="41"/>
        <v>167.85968793503918</v>
      </c>
      <c r="L164" s="201">
        <f t="shared" si="52"/>
        <v>-81.521574056186253</v>
      </c>
      <c r="M164" s="202">
        <f t="shared" si="48"/>
        <v>-4.4516565782533135</v>
      </c>
      <c r="N164" s="203">
        <f t="shared" si="49"/>
        <v>-85.973230634439574</v>
      </c>
      <c r="O164" s="202">
        <v>0</v>
      </c>
      <c r="P164" s="202">
        <v>0</v>
      </c>
      <c r="Q164" s="202">
        <v>0</v>
      </c>
      <c r="R164" s="203">
        <f t="shared" si="50"/>
        <v>-85.973230634439574</v>
      </c>
    </row>
    <row r="165" spans="1:19" x14ac:dyDescent="0.2">
      <c r="A165" s="160">
        <v>2</v>
      </c>
      <c r="B165" s="195">
        <f t="shared" si="45"/>
        <v>44593</v>
      </c>
      <c r="C165" s="216">
        <f t="shared" si="51"/>
        <v>44623</v>
      </c>
      <c r="D165" s="216">
        <f t="shared" si="51"/>
        <v>44642</v>
      </c>
      <c r="E165" s="224" t="s">
        <v>54</v>
      </c>
      <c r="F165" s="160">
        <v>9</v>
      </c>
      <c r="G165" s="197">
        <v>11</v>
      </c>
      <c r="H165" s="198">
        <f t="shared" si="46"/>
        <v>20.982460991879897</v>
      </c>
      <c r="I165" s="198">
        <f t="shared" si="44"/>
        <v>10.792264234856615</v>
      </c>
      <c r="J165" s="199">
        <f t="shared" si="47"/>
        <v>118.71490658342277</v>
      </c>
      <c r="K165" s="200">
        <f t="shared" si="41"/>
        <v>230.80707091067887</v>
      </c>
      <c r="L165" s="201">
        <f t="shared" si="52"/>
        <v>-112.0921643272561</v>
      </c>
      <c r="M165" s="202">
        <f t="shared" si="48"/>
        <v>-6.1210277950983052</v>
      </c>
      <c r="N165" s="203">
        <f t="shared" si="49"/>
        <v>-118.2131921223544</v>
      </c>
      <c r="O165" s="202">
        <v>0</v>
      </c>
      <c r="P165" s="202">
        <v>0</v>
      </c>
      <c r="Q165" s="202">
        <v>0</v>
      </c>
      <c r="R165" s="203">
        <f t="shared" si="50"/>
        <v>-118.2131921223544</v>
      </c>
    </row>
    <row r="166" spans="1:19" x14ac:dyDescent="0.2">
      <c r="A166" s="160">
        <v>3</v>
      </c>
      <c r="B166" s="195">
        <f t="shared" si="45"/>
        <v>44621</v>
      </c>
      <c r="C166" s="216">
        <f t="shared" si="51"/>
        <v>44656</v>
      </c>
      <c r="D166" s="216">
        <f t="shared" si="51"/>
        <v>44676</v>
      </c>
      <c r="E166" s="224" t="s">
        <v>54</v>
      </c>
      <c r="F166" s="160">
        <v>9</v>
      </c>
      <c r="G166" s="197">
        <v>9</v>
      </c>
      <c r="H166" s="198">
        <f t="shared" si="46"/>
        <v>20.982460991879897</v>
      </c>
      <c r="I166" s="198">
        <f t="shared" si="44"/>
        <v>10.792264234856615</v>
      </c>
      <c r="J166" s="199">
        <f t="shared" si="47"/>
        <v>97.13037811370954</v>
      </c>
      <c r="K166" s="200">
        <f t="shared" si="41"/>
        <v>188.84214892691907</v>
      </c>
      <c r="L166" s="201">
        <f>+J166-K166</f>
        <v>-91.711770813209526</v>
      </c>
      <c r="M166" s="202">
        <f t="shared" si="48"/>
        <v>-5.0081136505349768</v>
      </c>
      <c r="N166" s="203">
        <f t="shared" si="49"/>
        <v>-96.719884463744506</v>
      </c>
      <c r="O166" s="202">
        <v>0</v>
      </c>
      <c r="P166" s="202">
        <v>0</v>
      </c>
      <c r="Q166" s="202">
        <v>0</v>
      </c>
      <c r="R166" s="203">
        <f t="shared" si="50"/>
        <v>-96.719884463744506</v>
      </c>
    </row>
    <row r="167" spans="1:19" x14ac:dyDescent="0.2">
      <c r="A167" s="124">
        <v>4</v>
      </c>
      <c r="B167" s="195">
        <f t="shared" si="45"/>
        <v>44652</v>
      </c>
      <c r="C167" s="216">
        <f t="shared" si="51"/>
        <v>44685</v>
      </c>
      <c r="D167" s="216">
        <f t="shared" si="51"/>
        <v>44705</v>
      </c>
      <c r="E167" s="224" t="s">
        <v>54</v>
      </c>
      <c r="F167" s="160">
        <v>9</v>
      </c>
      <c r="G167" s="197">
        <v>11</v>
      </c>
      <c r="H167" s="198">
        <f t="shared" si="46"/>
        <v>20.982460991879897</v>
      </c>
      <c r="I167" s="198">
        <f t="shared" si="44"/>
        <v>10.792264234856615</v>
      </c>
      <c r="J167" s="199">
        <f t="shared" si="47"/>
        <v>118.71490658342277</v>
      </c>
      <c r="K167" s="200">
        <f t="shared" si="41"/>
        <v>230.80707091067887</v>
      </c>
      <c r="L167" s="201">
        <f t="shared" ref="L167:L177" si="53">+J167-K167</f>
        <v>-112.0921643272561</v>
      </c>
      <c r="M167" s="202">
        <f t="shared" si="48"/>
        <v>-6.1210277950983052</v>
      </c>
      <c r="N167" s="203">
        <f t="shared" si="49"/>
        <v>-118.2131921223544</v>
      </c>
      <c r="O167" s="202">
        <v>0</v>
      </c>
      <c r="P167" s="202">
        <v>0</v>
      </c>
      <c r="Q167" s="202">
        <v>0</v>
      </c>
      <c r="R167" s="203">
        <f t="shared" si="50"/>
        <v>-118.2131921223544</v>
      </c>
    </row>
    <row r="168" spans="1:19" x14ac:dyDescent="0.2">
      <c r="A168" s="160">
        <v>5</v>
      </c>
      <c r="B168" s="195">
        <f t="shared" si="45"/>
        <v>44682</v>
      </c>
      <c r="C168" s="216">
        <f t="shared" si="51"/>
        <v>44715</v>
      </c>
      <c r="D168" s="216">
        <f t="shared" si="51"/>
        <v>44735</v>
      </c>
      <c r="E168" s="224" t="s">
        <v>54</v>
      </c>
      <c r="F168" s="160">
        <v>9</v>
      </c>
      <c r="G168" s="197">
        <v>11</v>
      </c>
      <c r="H168" s="198">
        <f t="shared" si="46"/>
        <v>20.982460991879897</v>
      </c>
      <c r="I168" s="198">
        <f t="shared" si="44"/>
        <v>10.792264234856615</v>
      </c>
      <c r="J168" s="199">
        <f t="shared" si="47"/>
        <v>118.71490658342277</v>
      </c>
      <c r="K168" s="200">
        <f t="shared" si="41"/>
        <v>230.80707091067887</v>
      </c>
      <c r="L168" s="201">
        <f t="shared" si="53"/>
        <v>-112.0921643272561</v>
      </c>
      <c r="M168" s="202">
        <f t="shared" si="48"/>
        <v>-6.1210277950983052</v>
      </c>
      <c r="N168" s="203">
        <f t="shared" si="49"/>
        <v>-118.2131921223544</v>
      </c>
      <c r="O168" s="202">
        <v>0</v>
      </c>
      <c r="P168" s="202">
        <v>0</v>
      </c>
      <c r="Q168" s="202">
        <v>0</v>
      </c>
      <c r="R168" s="203">
        <f t="shared" si="50"/>
        <v>-118.2131921223544</v>
      </c>
    </row>
    <row r="169" spans="1:19" x14ac:dyDescent="0.2">
      <c r="A169" s="160">
        <v>6</v>
      </c>
      <c r="B169" s="195">
        <f t="shared" si="45"/>
        <v>44713</v>
      </c>
      <c r="C169" s="216">
        <f t="shared" si="51"/>
        <v>44747</v>
      </c>
      <c r="D169" s="216">
        <f t="shared" si="51"/>
        <v>44767</v>
      </c>
      <c r="E169" s="224" t="s">
        <v>54</v>
      </c>
      <c r="F169" s="160">
        <v>9</v>
      </c>
      <c r="G169" s="197">
        <v>14</v>
      </c>
      <c r="H169" s="198">
        <f t="shared" si="46"/>
        <v>20.982460991879897</v>
      </c>
      <c r="I169" s="198">
        <f t="shared" si="44"/>
        <v>10.792264234856615</v>
      </c>
      <c r="J169" s="199">
        <f t="shared" si="47"/>
        <v>151.09169928799261</v>
      </c>
      <c r="K169" s="200">
        <f t="shared" si="41"/>
        <v>293.75445388631857</v>
      </c>
      <c r="L169" s="205">
        <f t="shared" si="53"/>
        <v>-142.66275459832596</v>
      </c>
      <c r="M169" s="202">
        <f t="shared" si="48"/>
        <v>-7.7903990119432969</v>
      </c>
      <c r="N169" s="203">
        <f t="shared" si="49"/>
        <v>-150.45315361026925</v>
      </c>
      <c r="O169" s="202">
        <v>0</v>
      </c>
      <c r="P169" s="202">
        <v>0</v>
      </c>
      <c r="Q169" s="202">
        <v>0</v>
      </c>
      <c r="R169" s="203">
        <f t="shared" si="50"/>
        <v>-150.45315361026925</v>
      </c>
    </row>
    <row r="170" spans="1:19" x14ac:dyDescent="0.2">
      <c r="A170" s="124">
        <v>7</v>
      </c>
      <c r="B170" s="195">
        <f t="shared" si="45"/>
        <v>44743</v>
      </c>
      <c r="C170" s="216">
        <f t="shared" si="51"/>
        <v>44776</v>
      </c>
      <c r="D170" s="216">
        <f t="shared" si="51"/>
        <v>44796</v>
      </c>
      <c r="E170" s="224" t="s">
        <v>54</v>
      </c>
      <c r="F170" s="160">
        <v>9</v>
      </c>
      <c r="G170" s="197">
        <v>13</v>
      </c>
      <c r="H170" s="198">
        <f t="shared" si="46"/>
        <v>20.982460991879897</v>
      </c>
      <c r="I170" s="198">
        <f t="shared" si="44"/>
        <v>10.792264234856615</v>
      </c>
      <c r="J170" s="199">
        <f t="shared" si="47"/>
        <v>140.29943505313599</v>
      </c>
      <c r="K170" s="206">
        <f t="shared" si="41"/>
        <v>272.77199289443865</v>
      </c>
      <c r="L170" s="205">
        <f t="shared" si="53"/>
        <v>-132.47255784130266</v>
      </c>
      <c r="M170" s="202">
        <f t="shared" si="48"/>
        <v>-7.2339419396616327</v>
      </c>
      <c r="N170" s="203">
        <f t="shared" si="49"/>
        <v>-139.70649978096429</v>
      </c>
      <c r="O170" s="202">
        <v>0</v>
      </c>
      <c r="P170" s="202">
        <v>0</v>
      </c>
      <c r="Q170" s="202">
        <v>0</v>
      </c>
      <c r="R170" s="203">
        <f t="shared" si="50"/>
        <v>-139.70649978096429</v>
      </c>
    </row>
    <row r="171" spans="1:19" x14ac:dyDescent="0.2">
      <c r="A171" s="160">
        <v>8</v>
      </c>
      <c r="B171" s="195">
        <f t="shared" si="45"/>
        <v>44774</v>
      </c>
      <c r="C171" s="216">
        <f t="shared" si="51"/>
        <v>44809</v>
      </c>
      <c r="D171" s="216">
        <f t="shared" si="51"/>
        <v>44827</v>
      </c>
      <c r="E171" s="224" t="s">
        <v>54</v>
      </c>
      <c r="F171" s="124">
        <v>9</v>
      </c>
      <c r="G171" s="197">
        <v>13</v>
      </c>
      <c r="H171" s="198">
        <f t="shared" si="46"/>
        <v>20.982460991879897</v>
      </c>
      <c r="I171" s="198">
        <f t="shared" si="44"/>
        <v>10.792264234856615</v>
      </c>
      <c r="J171" s="199">
        <f t="shared" si="47"/>
        <v>140.29943505313599</v>
      </c>
      <c r="K171" s="206">
        <f t="shared" si="41"/>
        <v>272.77199289443865</v>
      </c>
      <c r="L171" s="205">
        <f t="shared" si="53"/>
        <v>-132.47255784130266</v>
      </c>
      <c r="M171" s="202">
        <f t="shared" si="48"/>
        <v>-7.2339419396616327</v>
      </c>
      <c r="N171" s="203">
        <f t="shared" si="49"/>
        <v>-139.70649978096429</v>
      </c>
      <c r="O171" s="202">
        <v>0</v>
      </c>
      <c r="P171" s="202">
        <v>0</v>
      </c>
      <c r="Q171" s="202">
        <v>0</v>
      </c>
      <c r="R171" s="203">
        <f t="shared" si="50"/>
        <v>-139.70649978096429</v>
      </c>
      <c r="S171" s="52"/>
    </row>
    <row r="172" spans="1:19" x14ac:dyDescent="0.2">
      <c r="A172" s="160">
        <v>9</v>
      </c>
      <c r="B172" s="195">
        <f t="shared" si="45"/>
        <v>44805</v>
      </c>
      <c r="C172" s="216">
        <f t="shared" ref="C172:D175" si="54">+C160</f>
        <v>44839</v>
      </c>
      <c r="D172" s="216">
        <f t="shared" si="54"/>
        <v>44859</v>
      </c>
      <c r="E172" s="224" t="s">
        <v>54</v>
      </c>
      <c r="F172" s="124">
        <v>9</v>
      </c>
      <c r="G172" s="197">
        <v>13</v>
      </c>
      <c r="H172" s="198">
        <f t="shared" si="46"/>
        <v>20.982460991879897</v>
      </c>
      <c r="I172" s="198">
        <f t="shared" si="44"/>
        <v>10.792264234856615</v>
      </c>
      <c r="J172" s="199">
        <f t="shared" si="47"/>
        <v>140.29943505313599</v>
      </c>
      <c r="K172" s="206">
        <f t="shared" si="41"/>
        <v>272.77199289443865</v>
      </c>
      <c r="L172" s="205">
        <f t="shared" si="53"/>
        <v>-132.47255784130266</v>
      </c>
      <c r="M172" s="202">
        <f t="shared" si="48"/>
        <v>-7.2339419396616327</v>
      </c>
      <c r="N172" s="203">
        <f t="shared" si="49"/>
        <v>-139.70649978096429</v>
      </c>
      <c r="O172" s="202">
        <v>0</v>
      </c>
      <c r="P172" s="202">
        <v>0</v>
      </c>
      <c r="Q172" s="202">
        <v>0</v>
      </c>
      <c r="R172" s="203">
        <f t="shared" si="50"/>
        <v>-139.70649978096429</v>
      </c>
    </row>
    <row r="173" spans="1:19" x14ac:dyDescent="0.2">
      <c r="A173" s="124">
        <v>10</v>
      </c>
      <c r="B173" s="195">
        <f t="shared" si="45"/>
        <v>44835</v>
      </c>
      <c r="C173" s="216">
        <f t="shared" si="54"/>
        <v>44868</v>
      </c>
      <c r="D173" s="216">
        <f t="shared" si="54"/>
        <v>44888</v>
      </c>
      <c r="E173" s="224" t="s">
        <v>54</v>
      </c>
      <c r="F173" s="124">
        <v>9</v>
      </c>
      <c r="G173" s="197">
        <v>10</v>
      </c>
      <c r="H173" s="198">
        <f t="shared" si="46"/>
        <v>20.982460991879897</v>
      </c>
      <c r="I173" s="198">
        <f t="shared" si="44"/>
        <v>10.792264234856615</v>
      </c>
      <c r="J173" s="199">
        <f t="shared" si="47"/>
        <v>107.92264234856616</v>
      </c>
      <c r="K173" s="206">
        <f t="shared" si="41"/>
        <v>209.82460991879896</v>
      </c>
      <c r="L173" s="205">
        <f t="shared" si="53"/>
        <v>-101.9019675702328</v>
      </c>
      <c r="M173" s="202">
        <f t="shared" si="48"/>
        <v>-5.564570722816641</v>
      </c>
      <c r="N173" s="203">
        <f t="shared" si="49"/>
        <v>-107.46653829304944</v>
      </c>
      <c r="O173" s="202">
        <v>0</v>
      </c>
      <c r="P173" s="202">
        <v>0</v>
      </c>
      <c r="Q173" s="202">
        <v>0</v>
      </c>
      <c r="R173" s="203">
        <f t="shared" si="50"/>
        <v>-107.46653829304944</v>
      </c>
    </row>
    <row r="174" spans="1:19" x14ac:dyDescent="0.2">
      <c r="A174" s="160">
        <v>11</v>
      </c>
      <c r="B174" s="195">
        <f t="shared" si="45"/>
        <v>44866</v>
      </c>
      <c r="C174" s="216">
        <f t="shared" si="54"/>
        <v>44900</v>
      </c>
      <c r="D174" s="216">
        <f t="shared" si="54"/>
        <v>44918</v>
      </c>
      <c r="E174" s="224" t="s">
        <v>54</v>
      </c>
      <c r="F174" s="124">
        <v>9</v>
      </c>
      <c r="G174" s="197">
        <v>9</v>
      </c>
      <c r="H174" s="198">
        <f t="shared" si="46"/>
        <v>20.982460991879897</v>
      </c>
      <c r="I174" s="198">
        <f t="shared" si="44"/>
        <v>10.792264234856615</v>
      </c>
      <c r="J174" s="199">
        <f t="shared" si="47"/>
        <v>97.13037811370954</v>
      </c>
      <c r="K174" s="206">
        <f t="shared" si="41"/>
        <v>188.84214892691907</v>
      </c>
      <c r="L174" s="205">
        <f t="shared" si="53"/>
        <v>-91.711770813209526</v>
      </c>
      <c r="M174" s="202">
        <f t="shared" si="48"/>
        <v>-5.0081136505349768</v>
      </c>
      <c r="N174" s="203">
        <f t="shared" si="49"/>
        <v>-96.719884463744506</v>
      </c>
      <c r="O174" s="202">
        <v>0</v>
      </c>
      <c r="P174" s="202">
        <v>0</v>
      </c>
      <c r="Q174" s="202">
        <v>0</v>
      </c>
      <c r="R174" s="203">
        <f t="shared" si="50"/>
        <v>-96.719884463744506</v>
      </c>
    </row>
    <row r="175" spans="1:19" s="220" customFormat="1" x14ac:dyDescent="0.2">
      <c r="A175" s="160">
        <v>12</v>
      </c>
      <c r="B175" s="218">
        <f t="shared" si="45"/>
        <v>44896</v>
      </c>
      <c r="C175" s="216">
        <f t="shared" si="54"/>
        <v>44930</v>
      </c>
      <c r="D175" s="216">
        <f t="shared" si="54"/>
        <v>44950</v>
      </c>
      <c r="E175" s="225" t="s">
        <v>54</v>
      </c>
      <c r="F175" s="171">
        <v>9</v>
      </c>
      <c r="G175" s="207">
        <v>9</v>
      </c>
      <c r="H175" s="208">
        <f t="shared" si="46"/>
        <v>20.982460991879897</v>
      </c>
      <c r="I175" s="208">
        <f t="shared" si="44"/>
        <v>10.792264234856615</v>
      </c>
      <c r="J175" s="209">
        <f t="shared" si="47"/>
        <v>97.13037811370954</v>
      </c>
      <c r="K175" s="210">
        <f t="shared" si="41"/>
        <v>188.84214892691907</v>
      </c>
      <c r="L175" s="211">
        <f t="shared" si="53"/>
        <v>-91.711770813209526</v>
      </c>
      <c r="M175" s="202">
        <f t="shared" si="48"/>
        <v>-5.0081136505349768</v>
      </c>
      <c r="N175" s="203">
        <f t="shared" si="49"/>
        <v>-96.719884463744506</v>
      </c>
      <c r="O175" s="202">
        <v>0</v>
      </c>
      <c r="P175" s="202">
        <v>0</v>
      </c>
      <c r="Q175" s="202">
        <v>0</v>
      </c>
      <c r="R175" s="203">
        <f t="shared" si="50"/>
        <v>-96.719884463744506</v>
      </c>
    </row>
    <row r="176" spans="1:19" x14ac:dyDescent="0.2">
      <c r="A176" s="124">
        <v>1</v>
      </c>
      <c r="B176" s="195">
        <f t="shared" si="45"/>
        <v>44562</v>
      </c>
      <c r="C176" s="213">
        <f t="shared" ref="C176:D187" si="55">+C152</f>
        <v>44595</v>
      </c>
      <c r="D176" s="213">
        <f t="shared" si="55"/>
        <v>44615</v>
      </c>
      <c r="E176" s="223" t="s">
        <v>55</v>
      </c>
      <c r="F176" s="160">
        <v>9</v>
      </c>
      <c r="G176" s="197">
        <v>22</v>
      </c>
      <c r="H176" s="198">
        <f t="shared" si="46"/>
        <v>20.982460991879897</v>
      </c>
      <c r="I176" s="198">
        <f t="shared" si="44"/>
        <v>10.792264234856615</v>
      </c>
      <c r="J176" s="199">
        <f t="shared" si="47"/>
        <v>237.42981316684555</v>
      </c>
      <c r="K176" s="200">
        <f t="shared" si="41"/>
        <v>461.61414182135775</v>
      </c>
      <c r="L176" s="201">
        <f t="shared" si="53"/>
        <v>-224.1843286545122</v>
      </c>
      <c r="M176" s="202">
        <f t="shared" si="48"/>
        <v>-12.24205559019661</v>
      </c>
      <c r="N176" s="203">
        <f t="shared" si="49"/>
        <v>-236.4263842447088</v>
      </c>
      <c r="O176" s="202">
        <v>0</v>
      </c>
      <c r="P176" s="202">
        <v>0</v>
      </c>
      <c r="Q176" s="202">
        <v>0</v>
      </c>
      <c r="R176" s="203">
        <f t="shared" si="50"/>
        <v>-236.4263842447088</v>
      </c>
    </row>
    <row r="177" spans="1:18" x14ac:dyDescent="0.2">
      <c r="A177" s="160">
        <v>2</v>
      </c>
      <c r="B177" s="195">
        <f t="shared" si="45"/>
        <v>44593</v>
      </c>
      <c r="C177" s="216">
        <f t="shared" si="55"/>
        <v>44623</v>
      </c>
      <c r="D177" s="216">
        <f t="shared" si="55"/>
        <v>44642</v>
      </c>
      <c r="E177" s="54" t="s">
        <v>55</v>
      </c>
      <c r="F177" s="160">
        <v>9</v>
      </c>
      <c r="G177" s="197">
        <v>22</v>
      </c>
      <c r="H177" s="198">
        <f t="shared" si="46"/>
        <v>20.982460991879897</v>
      </c>
      <c r="I177" s="198">
        <f t="shared" si="44"/>
        <v>10.792264234856615</v>
      </c>
      <c r="J177" s="199">
        <f t="shared" si="47"/>
        <v>237.42981316684555</v>
      </c>
      <c r="K177" s="200">
        <f t="shared" si="41"/>
        <v>461.61414182135775</v>
      </c>
      <c r="L177" s="201">
        <f t="shared" si="53"/>
        <v>-224.1843286545122</v>
      </c>
      <c r="M177" s="202">
        <f t="shared" si="48"/>
        <v>-12.24205559019661</v>
      </c>
      <c r="N177" s="203">
        <f t="shared" si="49"/>
        <v>-236.4263842447088</v>
      </c>
      <c r="O177" s="202">
        <v>0</v>
      </c>
      <c r="P177" s="202">
        <v>0</v>
      </c>
      <c r="Q177" s="202">
        <v>0</v>
      </c>
      <c r="R177" s="203">
        <f t="shared" si="50"/>
        <v>-236.4263842447088</v>
      </c>
    </row>
    <row r="178" spans="1:18" x14ac:dyDescent="0.2">
      <c r="A178" s="160">
        <v>3</v>
      </c>
      <c r="B178" s="195">
        <f t="shared" si="45"/>
        <v>44621</v>
      </c>
      <c r="C178" s="216">
        <f t="shared" si="55"/>
        <v>44656</v>
      </c>
      <c r="D178" s="216">
        <f t="shared" si="55"/>
        <v>44676</v>
      </c>
      <c r="E178" s="54" t="s">
        <v>55</v>
      </c>
      <c r="F178" s="160">
        <v>9</v>
      </c>
      <c r="G178" s="197">
        <v>18</v>
      </c>
      <c r="H178" s="198">
        <f t="shared" si="46"/>
        <v>20.982460991879897</v>
      </c>
      <c r="I178" s="198">
        <f t="shared" si="44"/>
        <v>10.792264234856615</v>
      </c>
      <c r="J178" s="199">
        <f t="shared" si="47"/>
        <v>194.26075622741908</v>
      </c>
      <c r="K178" s="200">
        <f t="shared" si="41"/>
        <v>377.68429785383813</v>
      </c>
      <c r="L178" s="201">
        <f>+J178-K178</f>
        <v>-183.42354162641905</v>
      </c>
      <c r="M178" s="202">
        <f t="shared" si="48"/>
        <v>-10.016227301069954</v>
      </c>
      <c r="N178" s="203">
        <f t="shared" si="49"/>
        <v>-193.43976892748901</v>
      </c>
      <c r="O178" s="202">
        <v>0</v>
      </c>
      <c r="P178" s="202">
        <v>0</v>
      </c>
      <c r="Q178" s="202">
        <v>0</v>
      </c>
      <c r="R178" s="203">
        <f t="shared" si="50"/>
        <v>-193.43976892748901</v>
      </c>
    </row>
    <row r="179" spans="1:18" x14ac:dyDescent="0.2">
      <c r="A179" s="124">
        <v>4</v>
      </c>
      <c r="B179" s="195">
        <f t="shared" si="45"/>
        <v>44652</v>
      </c>
      <c r="C179" s="216">
        <f t="shared" si="55"/>
        <v>44685</v>
      </c>
      <c r="D179" s="216">
        <f t="shared" si="55"/>
        <v>44705</v>
      </c>
      <c r="E179" s="54" t="s">
        <v>55</v>
      </c>
      <c r="F179" s="160">
        <v>9</v>
      </c>
      <c r="G179" s="197">
        <v>21</v>
      </c>
      <c r="H179" s="198">
        <f t="shared" si="46"/>
        <v>20.982460991879897</v>
      </c>
      <c r="I179" s="198">
        <f t="shared" si="44"/>
        <v>10.792264234856615</v>
      </c>
      <c r="J179" s="199">
        <f t="shared" si="47"/>
        <v>226.63754893198893</v>
      </c>
      <c r="K179" s="200">
        <f t="shared" si="41"/>
        <v>440.63168082947783</v>
      </c>
      <c r="L179" s="201">
        <f t="shared" ref="L179:L189" si="56">+J179-K179</f>
        <v>-213.9941318974889</v>
      </c>
      <c r="M179" s="202">
        <f t="shared" si="48"/>
        <v>-11.685598517914945</v>
      </c>
      <c r="N179" s="203">
        <f t="shared" si="49"/>
        <v>-225.67973041540384</v>
      </c>
      <c r="O179" s="202">
        <v>0</v>
      </c>
      <c r="P179" s="202">
        <v>0</v>
      </c>
      <c r="Q179" s="202">
        <v>0</v>
      </c>
      <c r="R179" s="203">
        <f t="shared" si="50"/>
        <v>-225.67973041540384</v>
      </c>
    </row>
    <row r="180" spans="1:18" x14ac:dyDescent="0.2">
      <c r="A180" s="160">
        <v>5</v>
      </c>
      <c r="B180" s="195">
        <f t="shared" si="45"/>
        <v>44682</v>
      </c>
      <c r="C180" s="216">
        <f t="shared" si="55"/>
        <v>44715</v>
      </c>
      <c r="D180" s="216">
        <f t="shared" si="55"/>
        <v>44735</v>
      </c>
      <c r="E180" s="54" t="s">
        <v>55</v>
      </c>
      <c r="F180" s="160">
        <v>9</v>
      </c>
      <c r="G180" s="197">
        <v>31</v>
      </c>
      <c r="H180" s="198">
        <f t="shared" si="46"/>
        <v>20.982460991879897</v>
      </c>
      <c r="I180" s="198">
        <f t="shared" ref="I180:I211" si="57">$J$3</f>
        <v>10.792264234856615</v>
      </c>
      <c r="J180" s="199">
        <f t="shared" si="47"/>
        <v>334.5601912805551</v>
      </c>
      <c r="K180" s="200">
        <f t="shared" si="41"/>
        <v>650.45629074827684</v>
      </c>
      <c r="L180" s="201">
        <f t="shared" si="56"/>
        <v>-315.89609946772174</v>
      </c>
      <c r="M180" s="202">
        <f t="shared" si="48"/>
        <v>-17.250169240731587</v>
      </c>
      <c r="N180" s="203">
        <f t="shared" si="49"/>
        <v>-333.14626870845331</v>
      </c>
      <c r="O180" s="202">
        <v>0</v>
      </c>
      <c r="P180" s="202">
        <v>0</v>
      </c>
      <c r="Q180" s="202">
        <v>0</v>
      </c>
      <c r="R180" s="203">
        <f t="shared" si="50"/>
        <v>-333.14626870845331</v>
      </c>
    </row>
    <row r="181" spans="1:18" x14ac:dyDescent="0.2">
      <c r="A181" s="160">
        <v>6</v>
      </c>
      <c r="B181" s="195">
        <f t="shared" si="45"/>
        <v>44713</v>
      </c>
      <c r="C181" s="216">
        <f t="shared" si="55"/>
        <v>44747</v>
      </c>
      <c r="D181" s="216">
        <f t="shared" si="55"/>
        <v>44767</v>
      </c>
      <c r="E181" s="54" t="s">
        <v>55</v>
      </c>
      <c r="F181" s="160">
        <v>9</v>
      </c>
      <c r="G181" s="197">
        <v>38</v>
      </c>
      <c r="H181" s="198">
        <f t="shared" si="46"/>
        <v>20.982460991879897</v>
      </c>
      <c r="I181" s="198">
        <f t="shared" si="57"/>
        <v>10.792264234856615</v>
      </c>
      <c r="J181" s="199">
        <f t="shared" si="47"/>
        <v>410.10604092455139</v>
      </c>
      <c r="K181" s="200">
        <f t="shared" si="41"/>
        <v>797.3335176914361</v>
      </c>
      <c r="L181" s="205">
        <f t="shared" si="56"/>
        <v>-387.22747676688471</v>
      </c>
      <c r="M181" s="202">
        <f t="shared" si="48"/>
        <v>-21.145368746703237</v>
      </c>
      <c r="N181" s="203">
        <f t="shared" si="49"/>
        <v>-408.37284551358795</v>
      </c>
      <c r="O181" s="202">
        <v>0</v>
      </c>
      <c r="P181" s="202">
        <v>0</v>
      </c>
      <c r="Q181" s="202">
        <v>0</v>
      </c>
      <c r="R181" s="203">
        <f t="shared" si="50"/>
        <v>-408.37284551358795</v>
      </c>
    </row>
    <row r="182" spans="1:18" x14ac:dyDescent="0.2">
      <c r="A182" s="124">
        <v>7</v>
      </c>
      <c r="B182" s="195">
        <f t="shared" si="45"/>
        <v>44743</v>
      </c>
      <c r="C182" s="216">
        <f t="shared" si="55"/>
        <v>44776</v>
      </c>
      <c r="D182" s="216">
        <f t="shared" si="55"/>
        <v>44796</v>
      </c>
      <c r="E182" s="54" t="s">
        <v>55</v>
      </c>
      <c r="F182" s="160">
        <v>9</v>
      </c>
      <c r="G182" s="197">
        <v>40</v>
      </c>
      <c r="H182" s="198">
        <f t="shared" si="46"/>
        <v>20.982460991879897</v>
      </c>
      <c r="I182" s="198">
        <f t="shared" si="57"/>
        <v>10.792264234856615</v>
      </c>
      <c r="J182" s="199">
        <f t="shared" si="47"/>
        <v>431.69056939426463</v>
      </c>
      <c r="K182" s="206">
        <f t="shared" si="41"/>
        <v>839.29843967519582</v>
      </c>
      <c r="L182" s="205">
        <f t="shared" si="56"/>
        <v>-407.60787028093119</v>
      </c>
      <c r="M182" s="202">
        <f t="shared" si="48"/>
        <v>-22.258282891266564</v>
      </c>
      <c r="N182" s="203">
        <f t="shared" si="49"/>
        <v>-429.86615317219776</v>
      </c>
      <c r="O182" s="202">
        <v>0</v>
      </c>
      <c r="P182" s="202">
        <v>0</v>
      </c>
      <c r="Q182" s="202">
        <v>0</v>
      </c>
      <c r="R182" s="203">
        <f t="shared" si="50"/>
        <v>-429.86615317219776</v>
      </c>
    </row>
    <row r="183" spans="1:18" x14ac:dyDescent="0.2">
      <c r="A183" s="160">
        <v>8</v>
      </c>
      <c r="B183" s="195">
        <f t="shared" si="45"/>
        <v>44774</v>
      </c>
      <c r="C183" s="216">
        <f t="shared" si="55"/>
        <v>44809</v>
      </c>
      <c r="D183" s="216">
        <f t="shared" si="55"/>
        <v>44827</v>
      </c>
      <c r="E183" s="54" t="s">
        <v>55</v>
      </c>
      <c r="F183" s="160">
        <v>9</v>
      </c>
      <c r="G183" s="197">
        <v>38</v>
      </c>
      <c r="H183" s="198">
        <f t="shared" si="46"/>
        <v>20.982460991879897</v>
      </c>
      <c r="I183" s="198">
        <f t="shared" si="57"/>
        <v>10.792264234856615</v>
      </c>
      <c r="J183" s="199">
        <f t="shared" si="47"/>
        <v>410.10604092455139</v>
      </c>
      <c r="K183" s="206">
        <f t="shared" si="41"/>
        <v>797.3335176914361</v>
      </c>
      <c r="L183" s="205">
        <f t="shared" si="56"/>
        <v>-387.22747676688471</v>
      </c>
      <c r="M183" s="202">
        <f t="shared" si="48"/>
        <v>-21.145368746703237</v>
      </c>
      <c r="N183" s="203">
        <f t="shared" si="49"/>
        <v>-408.37284551358795</v>
      </c>
      <c r="O183" s="202">
        <v>0</v>
      </c>
      <c r="P183" s="202">
        <v>0</v>
      </c>
      <c r="Q183" s="202">
        <v>0</v>
      </c>
      <c r="R183" s="203">
        <f t="shared" si="50"/>
        <v>-408.37284551358795</v>
      </c>
    </row>
    <row r="184" spans="1:18" x14ac:dyDescent="0.2">
      <c r="A184" s="160">
        <v>9</v>
      </c>
      <c r="B184" s="195">
        <f t="shared" si="45"/>
        <v>44805</v>
      </c>
      <c r="C184" s="216">
        <f t="shared" si="55"/>
        <v>44839</v>
      </c>
      <c r="D184" s="216">
        <f t="shared" si="55"/>
        <v>44859</v>
      </c>
      <c r="E184" s="54" t="s">
        <v>55</v>
      </c>
      <c r="F184" s="160">
        <v>9</v>
      </c>
      <c r="G184" s="197">
        <v>35</v>
      </c>
      <c r="H184" s="198">
        <f t="shared" si="46"/>
        <v>20.982460991879897</v>
      </c>
      <c r="I184" s="198">
        <f t="shared" si="57"/>
        <v>10.792264234856615</v>
      </c>
      <c r="J184" s="199">
        <f t="shared" si="47"/>
        <v>377.72924821998151</v>
      </c>
      <c r="K184" s="206">
        <f t="shared" si="41"/>
        <v>734.3861347157964</v>
      </c>
      <c r="L184" s="205">
        <f t="shared" si="56"/>
        <v>-356.65688649581489</v>
      </c>
      <c r="M184" s="202">
        <f t="shared" si="48"/>
        <v>-19.475997529858244</v>
      </c>
      <c r="N184" s="203">
        <f t="shared" si="49"/>
        <v>-376.13288402567315</v>
      </c>
      <c r="O184" s="202">
        <v>0</v>
      </c>
      <c r="P184" s="202">
        <v>0</v>
      </c>
      <c r="Q184" s="202">
        <v>0</v>
      </c>
      <c r="R184" s="203">
        <f t="shared" si="50"/>
        <v>-376.13288402567315</v>
      </c>
    </row>
    <row r="185" spans="1:18" x14ac:dyDescent="0.2">
      <c r="A185" s="124">
        <v>10</v>
      </c>
      <c r="B185" s="195">
        <f t="shared" si="45"/>
        <v>44835</v>
      </c>
      <c r="C185" s="216">
        <f t="shared" si="55"/>
        <v>44868</v>
      </c>
      <c r="D185" s="216">
        <f t="shared" si="55"/>
        <v>44888</v>
      </c>
      <c r="E185" s="54" t="s">
        <v>55</v>
      </c>
      <c r="F185" s="160">
        <v>9</v>
      </c>
      <c r="G185" s="197">
        <v>23</v>
      </c>
      <c r="H185" s="198">
        <f t="shared" si="46"/>
        <v>20.982460991879897</v>
      </c>
      <c r="I185" s="198">
        <f t="shared" si="57"/>
        <v>10.792264234856615</v>
      </c>
      <c r="J185" s="199">
        <f t="shared" si="47"/>
        <v>248.22207740170217</v>
      </c>
      <c r="K185" s="206">
        <f t="shared" si="41"/>
        <v>482.59660281323761</v>
      </c>
      <c r="L185" s="205">
        <f t="shared" si="56"/>
        <v>-234.37452541153544</v>
      </c>
      <c r="M185" s="202">
        <f t="shared" si="48"/>
        <v>-12.798512662478274</v>
      </c>
      <c r="N185" s="203">
        <f t="shared" si="49"/>
        <v>-247.17303807401373</v>
      </c>
      <c r="O185" s="202">
        <v>0</v>
      </c>
      <c r="P185" s="202">
        <v>0</v>
      </c>
      <c r="Q185" s="202">
        <v>0</v>
      </c>
      <c r="R185" s="203">
        <f t="shared" si="50"/>
        <v>-247.17303807401373</v>
      </c>
    </row>
    <row r="186" spans="1:18" x14ac:dyDescent="0.2">
      <c r="A186" s="160">
        <v>11</v>
      </c>
      <c r="B186" s="195">
        <f t="shared" si="45"/>
        <v>44866</v>
      </c>
      <c r="C186" s="216">
        <f t="shared" si="55"/>
        <v>44900</v>
      </c>
      <c r="D186" s="216">
        <f t="shared" si="55"/>
        <v>44918</v>
      </c>
      <c r="E186" s="54" t="s">
        <v>55</v>
      </c>
      <c r="F186" s="160">
        <v>9</v>
      </c>
      <c r="G186" s="197">
        <v>18</v>
      </c>
      <c r="H186" s="198">
        <f t="shared" si="46"/>
        <v>20.982460991879897</v>
      </c>
      <c r="I186" s="198">
        <f t="shared" si="57"/>
        <v>10.792264234856615</v>
      </c>
      <c r="J186" s="199">
        <f t="shared" si="47"/>
        <v>194.26075622741908</v>
      </c>
      <c r="K186" s="206">
        <f t="shared" si="41"/>
        <v>377.68429785383813</v>
      </c>
      <c r="L186" s="205">
        <f t="shared" si="56"/>
        <v>-183.42354162641905</v>
      </c>
      <c r="M186" s="202">
        <f t="shared" si="48"/>
        <v>-10.016227301069954</v>
      </c>
      <c r="N186" s="203">
        <f t="shared" si="49"/>
        <v>-193.43976892748901</v>
      </c>
      <c r="O186" s="202">
        <v>0</v>
      </c>
      <c r="P186" s="202">
        <v>0</v>
      </c>
      <c r="Q186" s="202">
        <v>0</v>
      </c>
      <c r="R186" s="203">
        <f t="shared" si="50"/>
        <v>-193.43976892748901</v>
      </c>
    </row>
    <row r="187" spans="1:18" s="220" customFormat="1" x14ac:dyDescent="0.2">
      <c r="A187" s="160">
        <v>12</v>
      </c>
      <c r="B187" s="218">
        <f t="shared" si="45"/>
        <v>44896</v>
      </c>
      <c r="C187" s="216">
        <f t="shared" si="55"/>
        <v>44930</v>
      </c>
      <c r="D187" s="216">
        <f t="shared" si="55"/>
        <v>44950</v>
      </c>
      <c r="E187" s="219" t="s">
        <v>55</v>
      </c>
      <c r="F187" s="171">
        <v>9</v>
      </c>
      <c r="G187" s="207">
        <v>27</v>
      </c>
      <c r="H187" s="208">
        <f t="shared" si="46"/>
        <v>20.982460991879897</v>
      </c>
      <c r="I187" s="208">
        <f t="shared" si="57"/>
        <v>10.792264234856615</v>
      </c>
      <c r="J187" s="209">
        <f t="shared" si="47"/>
        <v>291.39113434112863</v>
      </c>
      <c r="K187" s="210">
        <f t="shared" si="41"/>
        <v>566.52644678075717</v>
      </c>
      <c r="L187" s="211">
        <f t="shared" si="56"/>
        <v>-275.13531243962854</v>
      </c>
      <c r="M187" s="202">
        <f t="shared" si="48"/>
        <v>-15.02434095160493</v>
      </c>
      <c r="N187" s="203">
        <f t="shared" si="49"/>
        <v>-290.15965339123346</v>
      </c>
      <c r="O187" s="202">
        <v>0</v>
      </c>
      <c r="P187" s="202">
        <v>0</v>
      </c>
      <c r="Q187" s="202">
        <v>0</v>
      </c>
      <c r="R187" s="203">
        <f t="shared" si="50"/>
        <v>-290.15965339123346</v>
      </c>
    </row>
    <row r="188" spans="1:18" x14ac:dyDescent="0.2">
      <c r="A188" s="124">
        <v>1</v>
      </c>
      <c r="B188" s="195">
        <f t="shared" si="45"/>
        <v>44562</v>
      </c>
      <c r="C188" s="213">
        <f t="shared" ref="C188:D211" si="58">+C176</f>
        <v>44595</v>
      </c>
      <c r="D188" s="213">
        <f t="shared" si="58"/>
        <v>44615</v>
      </c>
      <c r="E188" s="196" t="s">
        <v>56</v>
      </c>
      <c r="F188" s="124">
        <v>9</v>
      </c>
      <c r="G188" s="197">
        <v>37</v>
      </c>
      <c r="H188" s="198">
        <f t="shared" si="46"/>
        <v>20.982460991879897</v>
      </c>
      <c r="I188" s="198">
        <f t="shared" si="57"/>
        <v>10.792264234856615</v>
      </c>
      <c r="J188" s="199">
        <f t="shared" si="47"/>
        <v>399.31377668969475</v>
      </c>
      <c r="K188" s="200">
        <f t="shared" si="41"/>
        <v>776.35105669955624</v>
      </c>
      <c r="L188" s="201">
        <f t="shared" si="56"/>
        <v>-377.03728000986149</v>
      </c>
      <c r="M188" s="202">
        <f t="shared" si="48"/>
        <v>-20.588911674421571</v>
      </c>
      <c r="N188" s="203">
        <f t="shared" si="49"/>
        <v>-397.62619168428307</v>
      </c>
      <c r="O188" s="202">
        <v>0</v>
      </c>
      <c r="P188" s="202">
        <v>0</v>
      </c>
      <c r="Q188" s="202">
        <v>0</v>
      </c>
      <c r="R188" s="203">
        <f t="shared" si="50"/>
        <v>-397.62619168428307</v>
      </c>
    </row>
    <row r="189" spans="1:18" x14ac:dyDescent="0.2">
      <c r="A189" s="160">
        <v>2</v>
      </c>
      <c r="B189" s="195">
        <f t="shared" si="45"/>
        <v>44593</v>
      </c>
      <c r="C189" s="216">
        <f t="shared" si="58"/>
        <v>44623</v>
      </c>
      <c r="D189" s="216">
        <f t="shared" si="58"/>
        <v>44642</v>
      </c>
      <c r="E189" s="204" t="s">
        <v>56</v>
      </c>
      <c r="F189" s="160">
        <v>9</v>
      </c>
      <c r="G189" s="197">
        <v>37</v>
      </c>
      <c r="H189" s="198">
        <f t="shared" si="46"/>
        <v>20.982460991879897</v>
      </c>
      <c r="I189" s="198">
        <f t="shared" si="57"/>
        <v>10.792264234856615</v>
      </c>
      <c r="J189" s="199">
        <f t="shared" si="47"/>
        <v>399.31377668969475</v>
      </c>
      <c r="K189" s="200">
        <f t="shared" si="41"/>
        <v>776.35105669955624</v>
      </c>
      <c r="L189" s="201">
        <f t="shared" si="56"/>
        <v>-377.03728000986149</v>
      </c>
      <c r="M189" s="202">
        <f t="shared" si="48"/>
        <v>-20.588911674421571</v>
      </c>
      <c r="N189" s="203">
        <f t="shared" si="49"/>
        <v>-397.62619168428307</v>
      </c>
      <c r="O189" s="202">
        <v>0</v>
      </c>
      <c r="P189" s="202">
        <v>0</v>
      </c>
      <c r="Q189" s="202">
        <v>0</v>
      </c>
      <c r="R189" s="203">
        <f t="shared" si="50"/>
        <v>-397.62619168428307</v>
      </c>
    </row>
    <row r="190" spans="1:18" x14ac:dyDescent="0.2">
      <c r="A190" s="160">
        <v>3</v>
      </c>
      <c r="B190" s="195">
        <f t="shared" si="45"/>
        <v>44621</v>
      </c>
      <c r="C190" s="216">
        <f t="shared" si="58"/>
        <v>44656</v>
      </c>
      <c r="D190" s="216">
        <f t="shared" si="58"/>
        <v>44676</v>
      </c>
      <c r="E190" s="204" t="s">
        <v>56</v>
      </c>
      <c r="F190" s="160">
        <v>9</v>
      </c>
      <c r="G190" s="197">
        <v>25</v>
      </c>
      <c r="H190" s="198">
        <f t="shared" si="46"/>
        <v>20.982460991879897</v>
      </c>
      <c r="I190" s="198">
        <f t="shared" si="57"/>
        <v>10.792264234856615</v>
      </c>
      <c r="J190" s="199">
        <f t="shared" si="47"/>
        <v>269.8066058714154</v>
      </c>
      <c r="K190" s="200">
        <f t="shared" si="41"/>
        <v>524.56152479699745</v>
      </c>
      <c r="L190" s="201">
        <f>+J190-K190</f>
        <v>-254.75491892558205</v>
      </c>
      <c r="M190" s="202">
        <f t="shared" si="48"/>
        <v>-13.911426807041602</v>
      </c>
      <c r="N190" s="203">
        <f t="shared" si="49"/>
        <v>-268.66634573262365</v>
      </c>
      <c r="O190" s="202">
        <v>0</v>
      </c>
      <c r="P190" s="202">
        <v>0</v>
      </c>
      <c r="Q190" s="202">
        <v>0</v>
      </c>
      <c r="R190" s="203">
        <f t="shared" si="50"/>
        <v>-268.66634573262365</v>
      </c>
    </row>
    <row r="191" spans="1:18" x14ac:dyDescent="0.2">
      <c r="A191" s="124">
        <v>4</v>
      </c>
      <c r="B191" s="195">
        <f t="shared" si="45"/>
        <v>44652</v>
      </c>
      <c r="C191" s="216">
        <f t="shared" si="58"/>
        <v>44685</v>
      </c>
      <c r="D191" s="216">
        <f t="shared" si="58"/>
        <v>44705</v>
      </c>
      <c r="E191" s="54" t="s">
        <v>56</v>
      </c>
      <c r="F191" s="160">
        <v>9</v>
      </c>
      <c r="G191" s="197">
        <v>31</v>
      </c>
      <c r="H191" s="198">
        <f t="shared" si="46"/>
        <v>20.982460991879897</v>
      </c>
      <c r="I191" s="198">
        <f t="shared" si="57"/>
        <v>10.792264234856615</v>
      </c>
      <c r="J191" s="199">
        <f t="shared" si="47"/>
        <v>334.5601912805551</v>
      </c>
      <c r="K191" s="200">
        <f t="shared" si="41"/>
        <v>650.45629074827684</v>
      </c>
      <c r="L191" s="201">
        <f t="shared" ref="L191:L201" si="59">+J191-K191</f>
        <v>-315.89609946772174</v>
      </c>
      <c r="M191" s="202">
        <f t="shared" si="48"/>
        <v>-17.250169240731587</v>
      </c>
      <c r="N191" s="203">
        <f t="shared" si="49"/>
        <v>-333.14626870845331</v>
      </c>
      <c r="O191" s="202">
        <v>0</v>
      </c>
      <c r="P191" s="202">
        <v>0</v>
      </c>
      <c r="Q191" s="202">
        <v>0</v>
      </c>
      <c r="R191" s="203">
        <f t="shared" si="50"/>
        <v>-333.14626870845331</v>
      </c>
    </row>
    <row r="192" spans="1:18" x14ac:dyDescent="0.2">
      <c r="A192" s="160">
        <v>5</v>
      </c>
      <c r="B192" s="195">
        <f t="shared" si="45"/>
        <v>44682</v>
      </c>
      <c r="C192" s="216">
        <f t="shared" si="58"/>
        <v>44715</v>
      </c>
      <c r="D192" s="216">
        <f t="shared" si="58"/>
        <v>44735</v>
      </c>
      <c r="E192" s="54" t="s">
        <v>56</v>
      </c>
      <c r="F192" s="160">
        <v>9</v>
      </c>
      <c r="G192" s="197">
        <v>40</v>
      </c>
      <c r="H192" s="198">
        <f t="shared" si="46"/>
        <v>20.982460991879897</v>
      </c>
      <c r="I192" s="198">
        <f t="shared" si="57"/>
        <v>10.792264234856615</v>
      </c>
      <c r="J192" s="199">
        <f t="shared" si="47"/>
        <v>431.69056939426463</v>
      </c>
      <c r="K192" s="200">
        <f t="shared" si="41"/>
        <v>839.29843967519582</v>
      </c>
      <c r="L192" s="201">
        <f t="shared" si="59"/>
        <v>-407.60787028093119</v>
      </c>
      <c r="M192" s="202">
        <f t="shared" si="48"/>
        <v>-22.258282891266564</v>
      </c>
      <c r="N192" s="203">
        <f t="shared" si="49"/>
        <v>-429.86615317219776</v>
      </c>
      <c r="O192" s="202">
        <v>0</v>
      </c>
      <c r="P192" s="202">
        <v>0</v>
      </c>
      <c r="Q192" s="202">
        <v>0</v>
      </c>
      <c r="R192" s="203">
        <f t="shared" si="50"/>
        <v>-429.86615317219776</v>
      </c>
    </row>
    <row r="193" spans="1:18" x14ac:dyDescent="0.2">
      <c r="A193" s="160">
        <v>6</v>
      </c>
      <c r="B193" s="195">
        <f t="shared" si="45"/>
        <v>44713</v>
      </c>
      <c r="C193" s="216">
        <f t="shared" si="58"/>
        <v>44747</v>
      </c>
      <c r="D193" s="216">
        <f t="shared" si="58"/>
        <v>44767</v>
      </c>
      <c r="E193" s="54" t="s">
        <v>56</v>
      </c>
      <c r="F193" s="160">
        <v>9</v>
      </c>
      <c r="G193" s="197">
        <v>48</v>
      </c>
      <c r="H193" s="198">
        <f t="shared" si="46"/>
        <v>20.982460991879897</v>
      </c>
      <c r="I193" s="198">
        <f t="shared" si="57"/>
        <v>10.792264234856615</v>
      </c>
      <c r="J193" s="199">
        <f t="shared" si="47"/>
        <v>518.02868327311751</v>
      </c>
      <c r="K193" s="200">
        <f t="shared" si="41"/>
        <v>1007.1581276102351</v>
      </c>
      <c r="L193" s="205">
        <f t="shared" si="59"/>
        <v>-489.12944433711755</v>
      </c>
      <c r="M193" s="202">
        <f t="shared" si="48"/>
        <v>-26.709939469519874</v>
      </c>
      <c r="N193" s="203">
        <f t="shared" si="49"/>
        <v>-515.83938380663744</v>
      </c>
      <c r="O193" s="202">
        <v>0</v>
      </c>
      <c r="P193" s="202">
        <v>0</v>
      </c>
      <c r="Q193" s="202">
        <v>0</v>
      </c>
      <c r="R193" s="203">
        <f t="shared" si="50"/>
        <v>-515.83938380663744</v>
      </c>
    </row>
    <row r="194" spans="1:18" x14ac:dyDescent="0.2">
      <c r="A194" s="124">
        <v>7</v>
      </c>
      <c r="B194" s="195">
        <f t="shared" si="45"/>
        <v>44743</v>
      </c>
      <c r="C194" s="216">
        <f t="shared" si="58"/>
        <v>44776</v>
      </c>
      <c r="D194" s="216">
        <f t="shared" si="58"/>
        <v>44796</v>
      </c>
      <c r="E194" s="54" t="s">
        <v>56</v>
      </c>
      <c r="F194" s="160">
        <v>9</v>
      </c>
      <c r="G194" s="197">
        <v>52</v>
      </c>
      <c r="H194" s="198">
        <f t="shared" si="46"/>
        <v>20.982460991879897</v>
      </c>
      <c r="I194" s="198">
        <f t="shared" si="57"/>
        <v>10.792264234856615</v>
      </c>
      <c r="J194" s="199">
        <f t="shared" si="47"/>
        <v>561.19774021254398</v>
      </c>
      <c r="K194" s="206">
        <f t="shared" si="41"/>
        <v>1091.0879715777546</v>
      </c>
      <c r="L194" s="205">
        <f t="shared" si="59"/>
        <v>-529.89023136521064</v>
      </c>
      <c r="M194" s="202">
        <f t="shared" si="48"/>
        <v>-28.935767758646531</v>
      </c>
      <c r="N194" s="203">
        <f t="shared" si="49"/>
        <v>-558.82599912385717</v>
      </c>
      <c r="O194" s="202">
        <v>0</v>
      </c>
      <c r="P194" s="202">
        <v>0</v>
      </c>
      <c r="Q194" s="202">
        <v>0</v>
      </c>
      <c r="R194" s="203">
        <f t="shared" si="50"/>
        <v>-558.82599912385717</v>
      </c>
    </row>
    <row r="195" spans="1:18" x14ac:dyDescent="0.2">
      <c r="A195" s="160">
        <v>8</v>
      </c>
      <c r="B195" s="195">
        <f t="shared" si="45"/>
        <v>44774</v>
      </c>
      <c r="C195" s="216">
        <f t="shared" si="58"/>
        <v>44809</v>
      </c>
      <c r="D195" s="216">
        <f t="shared" si="58"/>
        <v>44827</v>
      </c>
      <c r="E195" s="54" t="s">
        <v>56</v>
      </c>
      <c r="F195" s="160">
        <v>9</v>
      </c>
      <c r="G195" s="197">
        <v>50</v>
      </c>
      <c r="H195" s="198">
        <f t="shared" si="46"/>
        <v>20.982460991879897</v>
      </c>
      <c r="I195" s="198">
        <f t="shared" si="57"/>
        <v>10.792264234856615</v>
      </c>
      <c r="J195" s="199">
        <f t="shared" si="47"/>
        <v>539.6132117428308</v>
      </c>
      <c r="K195" s="206">
        <f t="shared" si="41"/>
        <v>1049.1230495939949</v>
      </c>
      <c r="L195" s="205">
        <f t="shared" si="59"/>
        <v>-509.50983785116409</v>
      </c>
      <c r="M195" s="202">
        <f t="shared" si="48"/>
        <v>-27.822853614083204</v>
      </c>
      <c r="N195" s="203">
        <f t="shared" si="49"/>
        <v>-537.33269146524731</v>
      </c>
      <c r="O195" s="202">
        <v>0</v>
      </c>
      <c r="P195" s="202">
        <v>0</v>
      </c>
      <c r="Q195" s="202">
        <v>0</v>
      </c>
      <c r="R195" s="203">
        <f t="shared" si="50"/>
        <v>-537.33269146524731</v>
      </c>
    </row>
    <row r="196" spans="1:18" x14ac:dyDescent="0.2">
      <c r="A196" s="160">
        <v>9</v>
      </c>
      <c r="B196" s="195">
        <f t="shared" si="45"/>
        <v>44805</v>
      </c>
      <c r="C196" s="216">
        <f t="shared" si="58"/>
        <v>44839</v>
      </c>
      <c r="D196" s="216">
        <f t="shared" si="58"/>
        <v>44859</v>
      </c>
      <c r="E196" s="54" t="s">
        <v>56</v>
      </c>
      <c r="F196" s="160">
        <v>9</v>
      </c>
      <c r="G196" s="197">
        <v>47</v>
      </c>
      <c r="H196" s="198">
        <f t="shared" si="46"/>
        <v>20.982460991879897</v>
      </c>
      <c r="I196" s="198">
        <f t="shared" si="57"/>
        <v>10.792264234856615</v>
      </c>
      <c r="J196" s="199">
        <f t="shared" si="47"/>
        <v>507.23641903826092</v>
      </c>
      <c r="K196" s="206">
        <f t="shared" si="41"/>
        <v>986.17566661835519</v>
      </c>
      <c r="L196" s="205">
        <f t="shared" si="59"/>
        <v>-478.93924758009427</v>
      </c>
      <c r="M196" s="202">
        <f t="shared" si="48"/>
        <v>-26.153482397238214</v>
      </c>
      <c r="N196" s="203">
        <f t="shared" si="49"/>
        <v>-505.09272997733251</v>
      </c>
      <c r="O196" s="202">
        <v>0</v>
      </c>
      <c r="P196" s="202">
        <v>0</v>
      </c>
      <c r="Q196" s="202">
        <v>0</v>
      </c>
      <c r="R196" s="203">
        <f t="shared" si="50"/>
        <v>-505.09272997733251</v>
      </c>
    </row>
    <row r="197" spans="1:18" x14ac:dyDescent="0.2">
      <c r="A197" s="124">
        <v>10</v>
      </c>
      <c r="B197" s="195">
        <f t="shared" si="45"/>
        <v>44835</v>
      </c>
      <c r="C197" s="216">
        <f t="shared" si="58"/>
        <v>44868</v>
      </c>
      <c r="D197" s="216">
        <f t="shared" si="58"/>
        <v>44888</v>
      </c>
      <c r="E197" s="54" t="s">
        <v>56</v>
      </c>
      <c r="F197" s="160">
        <v>9</v>
      </c>
      <c r="G197" s="197">
        <v>35</v>
      </c>
      <c r="H197" s="198">
        <f t="shared" si="46"/>
        <v>20.982460991879897</v>
      </c>
      <c r="I197" s="198">
        <f t="shared" si="57"/>
        <v>10.792264234856615</v>
      </c>
      <c r="J197" s="199">
        <f t="shared" si="47"/>
        <v>377.72924821998151</v>
      </c>
      <c r="K197" s="206">
        <f t="shared" si="41"/>
        <v>734.3861347157964</v>
      </c>
      <c r="L197" s="205">
        <f t="shared" si="59"/>
        <v>-356.65688649581489</v>
      </c>
      <c r="M197" s="202">
        <f t="shared" si="48"/>
        <v>-19.475997529858244</v>
      </c>
      <c r="N197" s="203">
        <f t="shared" si="49"/>
        <v>-376.13288402567315</v>
      </c>
      <c r="O197" s="202">
        <v>0</v>
      </c>
      <c r="P197" s="202">
        <v>0</v>
      </c>
      <c r="Q197" s="202">
        <v>0</v>
      </c>
      <c r="R197" s="203">
        <f t="shared" si="50"/>
        <v>-376.13288402567315</v>
      </c>
    </row>
    <row r="198" spans="1:18" x14ac:dyDescent="0.2">
      <c r="A198" s="160">
        <v>11</v>
      </c>
      <c r="B198" s="195">
        <f t="shared" si="45"/>
        <v>44866</v>
      </c>
      <c r="C198" s="216">
        <f t="shared" si="58"/>
        <v>44900</v>
      </c>
      <c r="D198" s="216">
        <f t="shared" si="58"/>
        <v>44918</v>
      </c>
      <c r="E198" s="54" t="s">
        <v>56</v>
      </c>
      <c r="F198" s="160">
        <v>9</v>
      </c>
      <c r="G198" s="197">
        <v>34</v>
      </c>
      <c r="H198" s="198">
        <f t="shared" si="46"/>
        <v>20.982460991879897</v>
      </c>
      <c r="I198" s="198">
        <f t="shared" si="57"/>
        <v>10.792264234856615</v>
      </c>
      <c r="J198" s="199">
        <f t="shared" si="47"/>
        <v>366.93698398512493</v>
      </c>
      <c r="K198" s="206">
        <f t="shared" ref="K198:K209" si="60">+$G198*H198</f>
        <v>713.40367372391654</v>
      </c>
      <c r="L198" s="205">
        <f t="shared" si="59"/>
        <v>-346.46668973879162</v>
      </c>
      <c r="M198" s="202">
        <f t="shared" si="48"/>
        <v>-18.919540457576581</v>
      </c>
      <c r="N198" s="203">
        <f t="shared" si="49"/>
        <v>-365.38623019636822</v>
      </c>
      <c r="O198" s="202">
        <v>0</v>
      </c>
      <c r="P198" s="202">
        <v>0</v>
      </c>
      <c r="Q198" s="202">
        <v>0</v>
      </c>
      <c r="R198" s="203">
        <f t="shared" si="50"/>
        <v>-365.38623019636822</v>
      </c>
    </row>
    <row r="199" spans="1:18" s="220" customFormat="1" x14ac:dyDescent="0.2">
      <c r="A199" s="160">
        <v>12</v>
      </c>
      <c r="B199" s="218">
        <f t="shared" si="45"/>
        <v>44896</v>
      </c>
      <c r="C199" s="216">
        <f t="shared" si="58"/>
        <v>44930</v>
      </c>
      <c r="D199" s="216">
        <f t="shared" si="58"/>
        <v>44950</v>
      </c>
      <c r="E199" s="219" t="s">
        <v>56</v>
      </c>
      <c r="F199" s="171">
        <v>9</v>
      </c>
      <c r="G199" s="207">
        <v>34</v>
      </c>
      <c r="H199" s="208">
        <f t="shared" si="46"/>
        <v>20.982460991879897</v>
      </c>
      <c r="I199" s="208">
        <f t="shared" si="57"/>
        <v>10.792264234856615</v>
      </c>
      <c r="J199" s="209">
        <f t="shared" si="47"/>
        <v>366.93698398512493</v>
      </c>
      <c r="K199" s="210">
        <f t="shared" si="60"/>
        <v>713.40367372391654</v>
      </c>
      <c r="L199" s="211">
        <f t="shared" si="59"/>
        <v>-346.46668973879162</v>
      </c>
      <c r="M199" s="202">
        <f t="shared" si="48"/>
        <v>-18.919540457576581</v>
      </c>
      <c r="N199" s="203">
        <f t="shared" si="49"/>
        <v>-365.38623019636822</v>
      </c>
      <c r="O199" s="202">
        <v>0</v>
      </c>
      <c r="P199" s="202">
        <v>0</v>
      </c>
      <c r="Q199" s="202">
        <v>0</v>
      </c>
      <c r="R199" s="203">
        <f t="shared" si="50"/>
        <v>-365.38623019636822</v>
      </c>
    </row>
    <row r="200" spans="1:18" x14ac:dyDescent="0.2">
      <c r="A200" s="124">
        <v>1</v>
      </c>
      <c r="B200" s="195">
        <f t="shared" si="45"/>
        <v>44562</v>
      </c>
      <c r="C200" s="213">
        <f t="shared" si="58"/>
        <v>44595</v>
      </c>
      <c r="D200" s="213">
        <f t="shared" si="58"/>
        <v>44615</v>
      </c>
      <c r="E200" s="196" t="s">
        <v>17</v>
      </c>
      <c r="F200" s="124">
        <v>9</v>
      </c>
      <c r="G200" s="197">
        <v>106</v>
      </c>
      <c r="H200" s="198">
        <f t="shared" si="46"/>
        <v>20.982460991879897</v>
      </c>
      <c r="I200" s="198">
        <f t="shared" si="57"/>
        <v>10.792264234856615</v>
      </c>
      <c r="J200" s="199">
        <f t="shared" si="47"/>
        <v>1143.9800088948011</v>
      </c>
      <c r="K200" s="200">
        <f t="shared" si="60"/>
        <v>2224.140865139269</v>
      </c>
      <c r="L200" s="201">
        <f t="shared" si="59"/>
        <v>-1080.1608562444678</v>
      </c>
      <c r="M200" s="202">
        <f t="shared" si="48"/>
        <v>-58.984449661856395</v>
      </c>
      <c r="N200" s="203">
        <f t="shared" si="49"/>
        <v>-1139.1453059063242</v>
      </c>
      <c r="O200" s="202">
        <v>0</v>
      </c>
      <c r="P200" s="202">
        <v>0</v>
      </c>
      <c r="Q200" s="202">
        <v>0</v>
      </c>
      <c r="R200" s="203">
        <f t="shared" si="50"/>
        <v>-1139.1453059063242</v>
      </c>
    </row>
    <row r="201" spans="1:18" x14ac:dyDescent="0.2">
      <c r="A201" s="160">
        <v>2</v>
      </c>
      <c r="B201" s="195">
        <f t="shared" si="45"/>
        <v>44593</v>
      </c>
      <c r="C201" s="216">
        <f t="shared" si="58"/>
        <v>44623</v>
      </c>
      <c r="D201" s="216">
        <f t="shared" si="58"/>
        <v>44642</v>
      </c>
      <c r="E201" s="204" t="s">
        <v>17</v>
      </c>
      <c r="F201" s="160">
        <v>9</v>
      </c>
      <c r="G201" s="197">
        <v>101</v>
      </c>
      <c r="H201" s="198">
        <f t="shared" si="46"/>
        <v>20.982460991879897</v>
      </c>
      <c r="I201" s="198">
        <f t="shared" si="57"/>
        <v>10.792264234856615</v>
      </c>
      <c r="J201" s="199">
        <f t="shared" si="47"/>
        <v>1090.0186877205181</v>
      </c>
      <c r="K201" s="200">
        <f t="shared" si="60"/>
        <v>2119.2285601798694</v>
      </c>
      <c r="L201" s="201">
        <f t="shared" si="59"/>
        <v>-1029.2098724593513</v>
      </c>
      <c r="M201" s="202">
        <f t="shared" si="48"/>
        <v>-56.202164300448075</v>
      </c>
      <c r="N201" s="203">
        <f t="shared" si="49"/>
        <v>-1085.4120367597993</v>
      </c>
      <c r="O201" s="202">
        <v>0</v>
      </c>
      <c r="P201" s="202">
        <v>0</v>
      </c>
      <c r="Q201" s="202">
        <v>0</v>
      </c>
      <c r="R201" s="203">
        <f t="shared" si="50"/>
        <v>-1085.4120367597993</v>
      </c>
    </row>
    <row r="202" spans="1:18" x14ac:dyDescent="0.2">
      <c r="A202" s="160">
        <v>3</v>
      </c>
      <c r="B202" s="195">
        <f t="shared" si="45"/>
        <v>44621</v>
      </c>
      <c r="C202" s="216">
        <f t="shared" si="58"/>
        <v>44656</v>
      </c>
      <c r="D202" s="216">
        <f t="shared" si="58"/>
        <v>44676</v>
      </c>
      <c r="E202" s="204" t="s">
        <v>17</v>
      </c>
      <c r="F202" s="160">
        <v>9</v>
      </c>
      <c r="G202" s="197">
        <v>97</v>
      </c>
      <c r="H202" s="198">
        <f t="shared" si="46"/>
        <v>20.982460991879897</v>
      </c>
      <c r="I202" s="198">
        <f t="shared" si="57"/>
        <v>10.792264234856615</v>
      </c>
      <c r="J202" s="199">
        <f t="shared" si="47"/>
        <v>1046.8496307810917</v>
      </c>
      <c r="K202" s="200">
        <f t="shared" si="60"/>
        <v>2035.29871621235</v>
      </c>
      <c r="L202" s="201">
        <f>+J202-K202</f>
        <v>-988.44908543125825</v>
      </c>
      <c r="M202" s="202">
        <f t="shared" si="48"/>
        <v>-53.976336011321415</v>
      </c>
      <c r="N202" s="203">
        <f t="shared" si="49"/>
        <v>-1042.4254214425796</v>
      </c>
      <c r="O202" s="202">
        <v>0</v>
      </c>
      <c r="P202" s="202">
        <v>0</v>
      </c>
      <c r="Q202" s="202">
        <v>0</v>
      </c>
      <c r="R202" s="203">
        <f t="shared" si="50"/>
        <v>-1042.4254214425796</v>
      </c>
    </row>
    <row r="203" spans="1:18" x14ac:dyDescent="0.2">
      <c r="A203" s="124">
        <v>4</v>
      </c>
      <c r="B203" s="195">
        <f t="shared" si="45"/>
        <v>44652</v>
      </c>
      <c r="C203" s="216">
        <f t="shared" si="58"/>
        <v>44685</v>
      </c>
      <c r="D203" s="216">
        <f t="shared" si="58"/>
        <v>44705</v>
      </c>
      <c r="E203" s="204" t="s">
        <v>17</v>
      </c>
      <c r="F203" s="160">
        <v>9</v>
      </c>
      <c r="G203" s="197">
        <v>98</v>
      </c>
      <c r="H203" s="198">
        <f t="shared" si="46"/>
        <v>20.982460991879897</v>
      </c>
      <c r="I203" s="198">
        <f t="shared" si="57"/>
        <v>10.792264234856615</v>
      </c>
      <c r="J203" s="199">
        <f t="shared" si="47"/>
        <v>1057.6418950159482</v>
      </c>
      <c r="K203" s="200">
        <f t="shared" si="60"/>
        <v>2056.2811772042301</v>
      </c>
      <c r="L203" s="201">
        <f t="shared" ref="L203:L211" si="61">+J203-K203</f>
        <v>-998.63928218828187</v>
      </c>
      <c r="M203" s="202">
        <f t="shared" si="48"/>
        <v>-54.532793083603082</v>
      </c>
      <c r="N203" s="203">
        <f t="shared" si="49"/>
        <v>-1053.172075271885</v>
      </c>
      <c r="O203" s="202">
        <v>0</v>
      </c>
      <c r="P203" s="202">
        <v>0</v>
      </c>
      <c r="Q203" s="202">
        <v>0</v>
      </c>
      <c r="R203" s="203">
        <f t="shared" si="50"/>
        <v>-1053.172075271885</v>
      </c>
    </row>
    <row r="204" spans="1:18" x14ac:dyDescent="0.2">
      <c r="A204" s="160">
        <v>5</v>
      </c>
      <c r="B204" s="195">
        <f t="shared" si="45"/>
        <v>44682</v>
      </c>
      <c r="C204" s="216">
        <f t="shared" si="58"/>
        <v>44715</v>
      </c>
      <c r="D204" s="216">
        <f t="shared" si="58"/>
        <v>44735</v>
      </c>
      <c r="E204" s="54" t="s">
        <v>17</v>
      </c>
      <c r="F204" s="160">
        <v>9</v>
      </c>
      <c r="G204" s="197">
        <v>104</v>
      </c>
      <c r="H204" s="198">
        <f t="shared" si="46"/>
        <v>20.982460991879897</v>
      </c>
      <c r="I204" s="198">
        <f t="shared" si="57"/>
        <v>10.792264234856615</v>
      </c>
      <c r="J204" s="199">
        <f t="shared" si="47"/>
        <v>1122.395480425088</v>
      </c>
      <c r="K204" s="200">
        <f t="shared" si="60"/>
        <v>2182.1759431555092</v>
      </c>
      <c r="L204" s="201">
        <f t="shared" si="61"/>
        <v>-1059.7804627304213</v>
      </c>
      <c r="M204" s="202">
        <f t="shared" si="48"/>
        <v>-57.871535517293061</v>
      </c>
      <c r="N204" s="203">
        <f t="shared" si="49"/>
        <v>-1117.6519982477143</v>
      </c>
      <c r="O204" s="202">
        <v>0</v>
      </c>
      <c r="P204" s="202">
        <v>0</v>
      </c>
      <c r="Q204" s="202">
        <v>0</v>
      </c>
      <c r="R204" s="203">
        <f t="shared" si="50"/>
        <v>-1117.6519982477143</v>
      </c>
    </row>
    <row r="205" spans="1:18" x14ac:dyDescent="0.2">
      <c r="A205" s="160">
        <v>6</v>
      </c>
      <c r="B205" s="195">
        <f t="shared" si="45"/>
        <v>44713</v>
      </c>
      <c r="C205" s="216">
        <f t="shared" si="58"/>
        <v>44747</v>
      </c>
      <c r="D205" s="216">
        <f t="shared" si="58"/>
        <v>44767</v>
      </c>
      <c r="E205" s="54" t="s">
        <v>17</v>
      </c>
      <c r="F205" s="160">
        <v>9</v>
      </c>
      <c r="G205" s="197">
        <v>115</v>
      </c>
      <c r="H205" s="198">
        <f t="shared" si="46"/>
        <v>20.982460991879897</v>
      </c>
      <c r="I205" s="198">
        <f t="shared" si="57"/>
        <v>10.792264234856615</v>
      </c>
      <c r="J205" s="199">
        <f t="shared" si="47"/>
        <v>1241.1103870085108</v>
      </c>
      <c r="K205" s="200">
        <f t="shared" si="60"/>
        <v>2412.9830140661879</v>
      </c>
      <c r="L205" s="205">
        <f t="shared" si="61"/>
        <v>-1171.8726270576772</v>
      </c>
      <c r="M205" s="202">
        <f t="shared" si="48"/>
        <v>-63.992563312391376</v>
      </c>
      <c r="N205" s="203">
        <f t="shared" si="49"/>
        <v>-1235.8651903700686</v>
      </c>
      <c r="O205" s="202">
        <v>0</v>
      </c>
      <c r="P205" s="202">
        <v>0</v>
      </c>
      <c r="Q205" s="202">
        <v>0</v>
      </c>
      <c r="R205" s="203">
        <f t="shared" si="50"/>
        <v>-1235.8651903700686</v>
      </c>
    </row>
    <row r="206" spans="1:18" x14ac:dyDescent="0.2">
      <c r="A206" s="124">
        <v>7</v>
      </c>
      <c r="B206" s="195">
        <f t="shared" si="45"/>
        <v>44743</v>
      </c>
      <c r="C206" s="216">
        <f t="shared" si="58"/>
        <v>44776</v>
      </c>
      <c r="D206" s="216">
        <f t="shared" si="58"/>
        <v>44796</v>
      </c>
      <c r="E206" s="54" t="s">
        <v>17</v>
      </c>
      <c r="F206" s="160">
        <v>9</v>
      </c>
      <c r="G206" s="197">
        <v>42</v>
      </c>
      <c r="H206" s="198">
        <f t="shared" si="46"/>
        <v>20.982460991879897</v>
      </c>
      <c r="I206" s="198">
        <f t="shared" si="57"/>
        <v>10.792264234856615</v>
      </c>
      <c r="J206" s="199">
        <f t="shared" si="47"/>
        <v>453.27509786397786</v>
      </c>
      <c r="K206" s="206">
        <f t="shared" si="60"/>
        <v>881.26336165895566</v>
      </c>
      <c r="L206" s="205">
        <f t="shared" si="61"/>
        <v>-427.9882637949778</v>
      </c>
      <c r="M206" s="202">
        <f t="shared" si="48"/>
        <v>-23.371197035829891</v>
      </c>
      <c r="N206" s="203">
        <f t="shared" si="49"/>
        <v>-451.35946083080768</v>
      </c>
      <c r="O206" s="202">
        <v>0</v>
      </c>
      <c r="P206" s="202">
        <v>0</v>
      </c>
      <c r="Q206" s="202">
        <v>0</v>
      </c>
      <c r="R206" s="203">
        <f t="shared" si="50"/>
        <v>-451.35946083080768</v>
      </c>
    </row>
    <row r="207" spans="1:18" x14ac:dyDescent="0.2">
      <c r="A207" s="160">
        <v>8</v>
      </c>
      <c r="B207" s="195">
        <f t="shared" si="45"/>
        <v>44774</v>
      </c>
      <c r="C207" s="216">
        <f t="shared" si="58"/>
        <v>44809</v>
      </c>
      <c r="D207" s="216">
        <f t="shared" si="58"/>
        <v>44827</v>
      </c>
      <c r="E207" s="54" t="s">
        <v>17</v>
      </c>
      <c r="F207" s="160">
        <v>9</v>
      </c>
      <c r="G207" s="197">
        <v>41</v>
      </c>
      <c r="H207" s="198">
        <f t="shared" si="46"/>
        <v>20.982460991879897</v>
      </c>
      <c r="I207" s="198">
        <f t="shared" si="57"/>
        <v>10.792264234856615</v>
      </c>
      <c r="J207" s="199">
        <f t="shared" si="47"/>
        <v>442.48283362912122</v>
      </c>
      <c r="K207" s="206">
        <f t="shared" si="60"/>
        <v>860.2809006670758</v>
      </c>
      <c r="L207" s="205">
        <f t="shared" si="61"/>
        <v>-417.79806703795458</v>
      </c>
      <c r="M207" s="202">
        <f t="shared" si="48"/>
        <v>-22.814739963548227</v>
      </c>
      <c r="N207" s="203">
        <f t="shared" si="49"/>
        <v>-440.6128070015028</v>
      </c>
      <c r="O207" s="202">
        <v>0</v>
      </c>
      <c r="P207" s="202">
        <v>0</v>
      </c>
      <c r="Q207" s="202">
        <v>0</v>
      </c>
      <c r="R207" s="203">
        <f t="shared" si="50"/>
        <v>-440.6128070015028</v>
      </c>
    </row>
    <row r="208" spans="1:18" x14ac:dyDescent="0.2">
      <c r="A208" s="160">
        <v>9</v>
      </c>
      <c r="B208" s="195">
        <f t="shared" si="45"/>
        <v>44805</v>
      </c>
      <c r="C208" s="216">
        <f t="shared" si="58"/>
        <v>44839</v>
      </c>
      <c r="D208" s="216">
        <f t="shared" si="58"/>
        <v>44859</v>
      </c>
      <c r="E208" s="54" t="s">
        <v>17</v>
      </c>
      <c r="F208" s="160">
        <v>9</v>
      </c>
      <c r="G208" s="197">
        <v>115</v>
      </c>
      <c r="H208" s="198">
        <f t="shared" si="46"/>
        <v>20.982460991879897</v>
      </c>
      <c r="I208" s="198">
        <f t="shared" si="57"/>
        <v>10.792264234856615</v>
      </c>
      <c r="J208" s="199">
        <f t="shared" si="47"/>
        <v>1241.1103870085108</v>
      </c>
      <c r="K208" s="206">
        <f t="shared" si="60"/>
        <v>2412.9830140661879</v>
      </c>
      <c r="L208" s="205">
        <f t="shared" si="61"/>
        <v>-1171.8726270576772</v>
      </c>
      <c r="M208" s="202">
        <f t="shared" si="48"/>
        <v>-63.992563312391376</v>
      </c>
      <c r="N208" s="203">
        <f t="shared" si="49"/>
        <v>-1235.8651903700686</v>
      </c>
      <c r="O208" s="202">
        <v>0</v>
      </c>
      <c r="P208" s="202">
        <v>0</v>
      </c>
      <c r="Q208" s="202">
        <v>0</v>
      </c>
      <c r="R208" s="203">
        <f t="shared" si="50"/>
        <v>-1235.8651903700686</v>
      </c>
    </row>
    <row r="209" spans="1:18" x14ac:dyDescent="0.2">
      <c r="A209" s="124">
        <v>10</v>
      </c>
      <c r="B209" s="195">
        <f t="shared" si="45"/>
        <v>44835</v>
      </c>
      <c r="C209" s="216">
        <f t="shared" si="58"/>
        <v>44868</v>
      </c>
      <c r="D209" s="216">
        <f t="shared" si="58"/>
        <v>44888</v>
      </c>
      <c r="E209" s="54" t="s">
        <v>17</v>
      </c>
      <c r="F209" s="160">
        <v>9</v>
      </c>
      <c r="G209" s="197">
        <v>105</v>
      </c>
      <c r="H209" s="198">
        <f t="shared" si="46"/>
        <v>20.982460991879897</v>
      </c>
      <c r="I209" s="198">
        <f t="shared" si="57"/>
        <v>10.792264234856615</v>
      </c>
      <c r="J209" s="199">
        <f t="shared" si="47"/>
        <v>1133.1877446599447</v>
      </c>
      <c r="K209" s="206">
        <f t="shared" si="60"/>
        <v>2203.1584041473893</v>
      </c>
      <c r="L209" s="205">
        <f t="shared" si="61"/>
        <v>-1069.9706594874447</v>
      </c>
      <c r="M209" s="202">
        <f t="shared" si="48"/>
        <v>-58.427992589574735</v>
      </c>
      <c r="N209" s="203">
        <f t="shared" si="49"/>
        <v>-1128.3986520770195</v>
      </c>
      <c r="O209" s="202">
        <v>0</v>
      </c>
      <c r="P209" s="202">
        <v>0</v>
      </c>
      <c r="Q209" s="202">
        <v>0</v>
      </c>
      <c r="R209" s="203">
        <f t="shared" si="50"/>
        <v>-1128.3986520770195</v>
      </c>
    </row>
    <row r="210" spans="1:18" x14ac:dyDescent="0.2">
      <c r="A210" s="160">
        <v>11</v>
      </c>
      <c r="B210" s="195">
        <f t="shared" si="45"/>
        <v>44866</v>
      </c>
      <c r="C210" s="216">
        <f t="shared" si="58"/>
        <v>44900</v>
      </c>
      <c r="D210" s="216">
        <f t="shared" si="58"/>
        <v>44918</v>
      </c>
      <c r="E210" s="54" t="s">
        <v>17</v>
      </c>
      <c r="F210" s="160">
        <v>9</v>
      </c>
      <c r="G210" s="197">
        <v>104</v>
      </c>
      <c r="H210" s="198">
        <f t="shared" si="46"/>
        <v>20.982460991879897</v>
      </c>
      <c r="I210" s="198">
        <f t="shared" si="57"/>
        <v>10.792264234856615</v>
      </c>
      <c r="J210" s="199">
        <f t="shared" si="47"/>
        <v>1122.395480425088</v>
      </c>
      <c r="K210" s="206">
        <f>+$G210*H210</f>
        <v>2182.1759431555092</v>
      </c>
      <c r="L210" s="205">
        <f t="shared" si="61"/>
        <v>-1059.7804627304213</v>
      </c>
      <c r="M210" s="202">
        <f t="shared" si="48"/>
        <v>-57.871535517293061</v>
      </c>
      <c r="N210" s="203">
        <f t="shared" si="49"/>
        <v>-1117.6519982477143</v>
      </c>
      <c r="O210" s="202">
        <v>0</v>
      </c>
      <c r="P210" s="202">
        <v>0</v>
      </c>
      <c r="Q210" s="202">
        <v>0</v>
      </c>
      <c r="R210" s="203">
        <f t="shared" si="50"/>
        <v>-1117.6519982477143</v>
      </c>
    </row>
    <row r="211" spans="1:18" s="220" customFormat="1" x14ac:dyDescent="0.2">
      <c r="A211" s="160">
        <v>12</v>
      </c>
      <c r="B211" s="218">
        <f t="shared" si="45"/>
        <v>44896</v>
      </c>
      <c r="C211" s="221">
        <f t="shared" si="58"/>
        <v>44930</v>
      </c>
      <c r="D211" s="221">
        <f t="shared" si="58"/>
        <v>44950</v>
      </c>
      <c r="E211" s="219" t="s">
        <v>17</v>
      </c>
      <c r="F211" s="171">
        <v>9</v>
      </c>
      <c r="G211" s="207">
        <v>104</v>
      </c>
      <c r="H211" s="208">
        <f t="shared" si="46"/>
        <v>20.982460991879897</v>
      </c>
      <c r="I211" s="208">
        <f t="shared" si="57"/>
        <v>10.792264234856615</v>
      </c>
      <c r="J211" s="209">
        <f t="shared" si="47"/>
        <v>1122.395480425088</v>
      </c>
      <c r="K211" s="210">
        <f>+$G211*H211</f>
        <v>2182.1759431555092</v>
      </c>
      <c r="L211" s="211">
        <f t="shared" si="61"/>
        <v>-1059.7804627304213</v>
      </c>
      <c r="M211" s="209">
        <f t="shared" si="48"/>
        <v>-57.871535517293061</v>
      </c>
      <c r="N211" s="203">
        <f t="shared" si="49"/>
        <v>-1117.6519982477143</v>
      </c>
      <c r="O211" s="202">
        <v>0</v>
      </c>
      <c r="P211" s="202">
        <v>0</v>
      </c>
      <c r="Q211" s="202">
        <v>0</v>
      </c>
      <c r="R211" s="203">
        <f t="shared" si="50"/>
        <v>-1117.6519982477143</v>
      </c>
    </row>
    <row r="212" spans="1:18" x14ac:dyDescent="0.2">
      <c r="G212" s="226">
        <f>SUM(G20:G211)</f>
        <v>104674</v>
      </c>
      <c r="H212" s="51"/>
      <c r="I212" s="51"/>
      <c r="J212" s="51">
        <f>SUM(J20:J211)</f>
        <v>1129669.466519376</v>
      </c>
      <c r="K212" s="51">
        <f>SUM(K20:K211)</f>
        <v>2196318.1218640343</v>
      </c>
      <c r="L212" s="51">
        <f>SUM(L20:L211)</f>
        <v>-1066648.6553446557</v>
      </c>
      <c r="M212" s="51">
        <f>SUM(M20:M211)</f>
        <v>-58246.587584010813</v>
      </c>
      <c r="N212" s="51"/>
      <c r="O212" s="51"/>
      <c r="P212" s="51">
        <f>SUM(P20:P211)</f>
        <v>0</v>
      </c>
      <c r="Q212" s="51"/>
      <c r="R212" s="227">
        <f>SUM(R20:R211)</f>
        <v>-1124895.2429286644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46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wOTo1Ni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ToyM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B0EE7CD5-3A35-47DF-B8E1-3CC1C017168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7F45351-D422-4EB6-A1B0-8A646163A7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s349016</cp:lastModifiedBy>
  <cp:lastPrinted>2023-05-24T19:58:15Z</cp:lastPrinted>
  <dcterms:created xsi:type="dcterms:W3CDTF">2009-09-04T18:19:13Z</dcterms:created>
  <dcterms:modified xsi:type="dcterms:W3CDTF">2023-05-24T19:58:45Z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2acfcf31-dd2d-4375-8e33-fce169956290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{B0EE7CD5-3A35-47DF-B8E1-3CC1C0171682}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